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730" windowHeight="11760" firstSheet="3" activeTab="3"/>
  </bookViews>
  <sheets>
    <sheet name="skyview" sheetId="7" state="hidden" r:id="rId1"/>
    <sheet name="Skyview Analysis" sheetId="8" state="hidden" r:id="rId2"/>
    <sheet name="AQHRevenue" sheetId="9" state="hidden" r:id="rId3"/>
    <sheet name="SFRNA" sheetId="10" r:id="rId4"/>
    <sheet name="Net Revenue" sheetId="11" r:id="rId5"/>
    <sheet name="Costs" sheetId="12" r:id="rId6"/>
    <sheet name="P&amp;L" sheetId="13" r:id="rId7"/>
  </sheets>
  <definedNames>
    <definedName name="_xlnm.Print_Area" localSheetId="2">AQHRevenue!$A$1:$E$57</definedName>
    <definedName name="_xlnm.Print_Area" localSheetId="5">Costs!$A$1:$H$23</definedName>
    <definedName name="_xlnm.Print_Area" localSheetId="4">'Net Revenue'!$A$1:$J$137</definedName>
    <definedName name="_xlnm.Print_Area" localSheetId="6">'P&amp;L'!$A$1:$M$21</definedName>
    <definedName name="_xlnm.Print_Area" localSheetId="3">SFRNA!$A$1:$AG$41</definedName>
    <definedName name="_xlnm.Print_Area" localSheetId="0">skyview!$A$1:$E$57</definedName>
    <definedName name="_xlnm.Print_Area" localSheetId="1">'Skyview Analysis'!$A$1:$L$88</definedName>
  </definedNames>
  <calcPr calcId="145621"/>
</workbook>
</file>

<file path=xl/calcChain.xml><?xml version="1.0" encoding="utf-8"?>
<calcChain xmlns="http://schemas.openxmlformats.org/spreadsheetml/2006/main">
  <c r="A135" i="11" l="1"/>
  <c r="E123" i="11"/>
  <c r="F123" i="11"/>
  <c r="G123" i="11"/>
  <c r="H123" i="11"/>
  <c r="I123" i="11"/>
  <c r="S18" i="10"/>
  <c r="AE22" i="10"/>
  <c r="AE23" i="10"/>
  <c r="AA22" i="10"/>
  <c r="AA23" i="10"/>
  <c r="Y23" i="10"/>
  <c r="Y22" i="10"/>
  <c r="S23" i="10"/>
  <c r="U23" i="10"/>
  <c r="M5" i="13"/>
  <c r="L5" i="13" s="1"/>
  <c r="AA20" i="10"/>
  <c r="AA21" i="10"/>
  <c r="AA24" i="10"/>
  <c r="AA25" i="10"/>
  <c r="AA26" i="10"/>
  <c r="AA27" i="10"/>
  <c r="AA28" i="10"/>
  <c r="AA30" i="10"/>
  <c r="AA19" i="10"/>
  <c r="W31" i="10"/>
  <c r="Y31" i="10"/>
  <c r="Y20" i="10"/>
  <c r="Y21" i="10"/>
  <c r="Y24" i="10"/>
  <c r="Y25" i="10"/>
  <c r="Y26" i="10"/>
  <c r="Y27" i="10"/>
  <c r="Y28" i="10"/>
  <c r="Y29" i="10"/>
  <c r="Y30" i="10"/>
  <c r="Y19" i="10"/>
  <c r="E10" i="10"/>
  <c r="B122" i="11"/>
  <c r="A134" i="11"/>
  <c r="J107" i="11"/>
  <c r="J106" i="11"/>
  <c r="W29" i="10"/>
  <c r="S29" i="10"/>
  <c r="E7" i="10"/>
  <c r="H21" i="12"/>
  <c r="G21" i="12"/>
  <c r="E13" i="12"/>
  <c r="D13" i="12"/>
  <c r="G22" i="12"/>
  <c r="H22" i="12"/>
  <c r="A22" i="12"/>
  <c r="A20" i="12"/>
  <c r="H20" i="12" s="1"/>
  <c r="G20" i="12" s="1"/>
  <c r="A19" i="12"/>
  <c r="H19" i="12" s="1"/>
  <c r="G19" i="12" s="1"/>
  <c r="H18" i="12"/>
  <c r="G18" i="12"/>
  <c r="H17" i="12"/>
  <c r="G17" i="12"/>
  <c r="A16" i="12"/>
  <c r="H16" i="12" s="1"/>
  <c r="G16" i="12" s="1"/>
  <c r="A15" i="12"/>
  <c r="G15" i="12" s="1"/>
  <c r="H15" i="12" s="1"/>
  <c r="H23" i="12" s="1"/>
  <c r="E12" i="12"/>
  <c r="D12" i="12" s="1"/>
  <c r="E10" i="12"/>
  <c r="E9" i="12"/>
  <c r="D9" i="12" s="1"/>
  <c r="D10" i="12"/>
  <c r="A7" i="12"/>
  <c r="E7" i="12" s="1"/>
  <c r="D7" i="12" s="1"/>
  <c r="A8" i="12"/>
  <c r="E8" i="12" s="1"/>
  <c r="D8" i="12" s="1"/>
  <c r="A11" i="12"/>
  <c r="E11" i="12" s="1"/>
  <c r="D11" i="12" s="1"/>
  <c r="A12" i="12"/>
  <c r="A6" i="12"/>
  <c r="D6" i="12" s="1"/>
  <c r="E6" i="12" s="1"/>
  <c r="G23" i="12" l="1"/>
  <c r="E38" i="10"/>
  <c r="E37" i="10"/>
  <c r="A130" i="11"/>
  <c r="I114" i="11"/>
  <c r="I127" i="11" s="1"/>
  <c r="H114" i="11"/>
  <c r="H127" i="11" s="1"/>
  <c r="G114" i="11"/>
  <c r="G127" i="11" s="1"/>
  <c r="F114" i="11"/>
  <c r="F127" i="11" s="1"/>
  <c r="E114" i="11"/>
  <c r="E127" i="11" s="1"/>
  <c r="D114" i="11"/>
  <c r="D127" i="11" s="1"/>
  <c r="J113" i="11"/>
  <c r="J112" i="11"/>
  <c r="I109" i="11"/>
  <c r="H109" i="11"/>
  <c r="G109" i="11"/>
  <c r="F109" i="11"/>
  <c r="E109" i="11"/>
  <c r="D109" i="11"/>
  <c r="J108" i="11"/>
  <c r="J105" i="11"/>
  <c r="J104" i="11"/>
  <c r="J103" i="11"/>
  <c r="J102" i="11"/>
  <c r="J101" i="11"/>
  <c r="F98" i="11"/>
  <c r="F119" i="11" s="1"/>
  <c r="E98" i="11"/>
  <c r="E119" i="11" s="1"/>
  <c r="D98" i="11"/>
  <c r="D119" i="11" s="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I50" i="11"/>
  <c r="H50" i="11"/>
  <c r="H98" i="11" s="1"/>
  <c r="H119" i="11" s="1"/>
  <c r="G50" i="11"/>
  <c r="G98" i="11" s="1"/>
  <c r="G119" i="11" s="1"/>
  <c r="G120" i="11" s="1"/>
  <c r="G121" i="11" s="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I35" i="11"/>
  <c r="J35" i="11" s="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I13" i="11"/>
  <c r="J13" i="11" s="1"/>
  <c r="J12" i="11"/>
  <c r="J11" i="11"/>
  <c r="J10" i="11"/>
  <c r="J9" i="11"/>
  <c r="J8" i="11"/>
  <c r="J7" i="11"/>
  <c r="J6" i="11"/>
  <c r="J5" i="11"/>
  <c r="J4" i="11"/>
  <c r="J3" i="11"/>
  <c r="J2" i="11"/>
  <c r="F120" i="11" l="1"/>
  <c r="F121" i="11" s="1"/>
  <c r="H120" i="11"/>
  <c r="G130" i="11"/>
  <c r="G135" i="11" s="1"/>
  <c r="F122" i="11"/>
  <c r="F126" i="11" s="1"/>
  <c r="D120" i="11"/>
  <c r="D121" i="11" s="1"/>
  <c r="G122" i="11"/>
  <c r="G126" i="11" s="1"/>
  <c r="E120" i="11"/>
  <c r="E121" i="11" s="1"/>
  <c r="J114" i="11"/>
  <c r="J127" i="11" s="1"/>
  <c r="J130" i="11" s="1"/>
  <c r="J135" i="11" s="1"/>
  <c r="D130" i="11"/>
  <c r="D135" i="11" s="1"/>
  <c r="E130" i="11"/>
  <c r="I130" i="11"/>
  <c r="I135" i="11" s="1"/>
  <c r="J109" i="11"/>
  <c r="F130" i="11"/>
  <c r="G8" i="13"/>
  <c r="H8" i="13"/>
  <c r="E8" i="13"/>
  <c r="I8" i="13"/>
  <c r="F8" i="13"/>
  <c r="D8" i="13"/>
  <c r="H130" i="11"/>
  <c r="H135" i="11" s="1"/>
  <c r="J50" i="11"/>
  <c r="J98" i="11" s="1"/>
  <c r="J119" i="11" s="1"/>
  <c r="I98" i="11"/>
  <c r="I119" i="11" s="1"/>
  <c r="H121" i="11" l="1"/>
  <c r="H122" i="11" s="1"/>
  <c r="H126" i="11" s="1"/>
  <c r="I120" i="11"/>
  <c r="I121" i="11" s="1"/>
  <c r="D122" i="11"/>
  <c r="D123" i="11" s="1"/>
  <c r="D126" i="11" s="1"/>
  <c r="E122" i="11"/>
  <c r="E126" i="11"/>
  <c r="J120" i="11"/>
  <c r="J121" i="11" s="1"/>
  <c r="F135" i="11"/>
  <c r="E135" i="11"/>
  <c r="J8" i="13"/>
  <c r="E34" i="10"/>
  <c r="J123" i="11" l="1"/>
  <c r="I122" i="11"/>
  <c r="I126" i="11" s="1"/>
  <c r="J122" i="11"/>
  <c r="E31" i="10"/>
  <c r="W30" i="10"/>
  <c r="W28" i="10"/>
  <c r="W26" i="10"/>
  <c r="W25" i="10"/>
  <c r="W24" i="10"/>
  <c r="W21" i="10"/>
  <c r="W20" i="10"/>
  <c r="W19" i="10"/>
  <c r="S20" i="10"/>
  <c r="S25" i="10"/>
  <c r="S30" i="10"/>
  <c r="S21" i="10"/>
  <c r="P10" i="10"/>
  <c r="P12" i="10" s="1"/>
  <c r="K10" i="10"/>
  <c r="K12" i="10" s="1"/>
  <c r="H10" i="10"/>
  <c r="H12" i="10" s="1"/>
  <c r="E12" i="10"/>
  <c r="M7" i="10"/>
  <c r="P6" i="10"/>
  <c r="P7" i="10" s="1"/>
  <c r="M6" i="10"/>
  <c r="K6" i="10"/>
  <c r="H6" i="10"/>
  <c r="H7" i="10" s="1"/>
  <c r="F6" i="10"/>
  <c r="F7" i="10" s="1"/>
  <c r="E6" i="10"/>
  <c r="B56" i="9"/>
  <c r="B43" i="9"/>
  <c r="B41" i="9"/>
  <c r="D21" i="9"/>
  <c r="D23" i="9" s="1"/>
  <c r="E12" i="9"/>
  <c r="E18" i="9" s="1"/>
  <c r="E11" i="9"/>
  <c r="E17" i="9" s="1"/>
  <c r="D11" i="9"/>
  <c r="D12" i="9" s="1"/>
  <c r="D18" i="9" s="1"/>
  <c r="J126" i="11" l="1"/>
  <c r="E14" i="10"/>
  <c r="U29" i="10"/>
  <c r="AA29" i="10" s="1"/>
  <c r="S28" i="10"/>
  <c r="U28" i="10" s="1"/>
  <c r="AE28" i="10" s="1"/>
  <c r="S24" i="10"/>
  <c r="U21" i="10"/>
  <c r="AE21" i="10" s="1"/>
  <c r="S27" i="10"/>
  <c r="U27" i="10" s="1"/>
  <c r="S22" i="10"/>
  <c r="S19" i="10"/>
  <c r="S26" i="10"/>
  <c r="U26" i="10" s="1"/>
  <c r="U30" i="10"/>
  <c r="U25" i="10"/>
  <c r="U20" i="10"/>
  <c r="AE20" i="10" s="1"/>
  <c r="U24" i="10"/>
  <c r="AE24" i="10" s="1"/>
  <c r="U22" i="10"/>
  <c r="U19" i="10"/>
  <c r="AE19" i="10" s="1"/>
  <c r="K7" i="10"/>
  <c r="E27" i="9"/>
  <c r="D27" i="9"/>
  <c r="E26" i="9"/>
  <c r="D17" i="9"/>
  <c r="D26" i="9" s="1"/>
  <c r="J63" i="8"/>
  <c r="L76" i="8" s="1"/>
  <c r="D63" i="8"/>
  <c r="D62" i="8" s="1"/>
  <c r="P16" i="8"/>
  <c r="P18" i="8" s="1"/>
  <c r="P12" i="8"/>
  <c r="P13" i="8" s="1"/>
  <c r="K16" i="8"/>
  <c r="K18" i="8" s="1"/>
  <c r="K12" i="8"/>
  <c r="K24" i="8" s="1"/>
  <c r="M6" i="8"/>
  <c r="M12" i="8"/>
  <c r="M24" i="8" s="1"/>
  <c r="H16" i="8"/>
  <c r="H18" i="8" s="1"/>
  <c r="H12" i="8"/>
  <c r="H24" i="8" s="1"/>
  <c r="E16" i="8"/>
  <c r="E18" i="8" s="1"/>
  <c r="E6" i="8"/>
  <c r="F65" i="8"/>
  <c r="B58" i="8"/>
  <c r="B43" i="8"/>
  <c r="B45" i="8" s="1"/>
  <c r="F12" i="8"/>
  <c r="F24" i="8" s="1"/>
  <c r="E12" i="8"/>
  <c r="E24" i="8" s="1"/>
  <c r="B56" i="7"/>
  <c r="B43" i="7"/>
  <c r="B41" i="7"/>
  <c r="D21" i="7"/>
  <c r="D23" i="7" s="1"/>
  <c r="E12" i="7"/>
  <c r="E18" i="7" s="1"/>
  <c r="E11" i="7"/>
  <c r="E17" i="7" s="1"/>
  <c r="D11" i="7"/>
  <c r="D12" i="7" s="1"/>
  <c r="D18" i="7" s="1"/>
  <c r="AE30" i="10" l="1"/>
  <c r="E39" i="10"/>
  <c r="E40" i="10" s="1"/>
  <c r="E41" i="10" s="1"/>
  <c r="L51" i="10"/>
  <c r="D31" i="9"/>
  <c r="D47" i="9"/>
  <c r="D52" i="9" s="1"/>
  <c r="D56" i="9" s="1"/>
  <c r="D32" i="9"/>
  <c r="E47" i="9"/>
  <c r="E52" i="9" s="1"/>
  <c r="E56" i="9" s="1"/>
  <c r="E32" i="9"/>
  <c r="E31" i="9"/>
  <c r="D48" i="9"/>
  <c r="D53" i="9" s="1"/>
  <c r="D57" i="9" s="1"/>
  <c r="D35" i="9"/>
  <c r="D36" i="9"/>
  <c r="E36" i="9"/>
  <c r="E48" i="9"/>
  <c r="E53" i="9" s="1"/>
  <c r="E57" i="9" s="1"/>
  <c r="E35" i="9"/>
  <c r="J62" i="8"/>
  <c r="L82" i="8" s="1"/>
  <c r="P24" i="8"/>
  <c r="P28" i="8" s="1"/>
  <c r="K28" i="8"/>
  <c r="K13" i="8"/>
  <c r="M28" i="8"/>
  <c r="M13" i="8"/>
  <c r="M25" i="8" s="1"/>
  <c r="M29" i="8" s="1"/>
  <c r="M65" i="8" s="1"/>
  <c r="M69" i="8" s="1"/>
  <c r="H28" i="8"/>
  <c r="H13" i="8"/>
  <c r="E13" i="8"/>
  <c r="F13" i="8"/>
  <c r="F25" i="8" s="1"/>
  <c r="F29" i="8" s="1"/>
  <c r="F28" i="8"/>
  <c r="E28" i="8"/>
  <c r="D26" i="7"/>
  <c r="E27" i="7"/>
  <c r="D27" i="7"/>
  <c r="E26" i="7"/>
  <c r="D17" i="7"/>
  <c r="AA31" i="10" l="1"/>
  <c r="L50" i="10"/>
  <c r="P34" i="8"/>
  <c r="P49" i="8"/>
  <c r="P54" i="8" s="1"/>
  <c r="P58" i="8" s="1"/>
  <c r="P33" i="8"/>
  <c r="P61" i="8"/>
  <c r="H6" i="8"/>
  <c r="K61" i="8"/>
  <c r="K49" i="8"/>
  <c r="K54" i="8" s="1"/>
  <c r="K58" i="8" s="1"/>
  <c r="E25" i="8"/>
  <c r="E29" i="8" s="1"/>
  <c r="M50" i="8"/>
  <c r="M55" i="8" s="1"/>
  <c r="M59" i="8" s="1"/>
  <c r="M61" i="8"/>
  <c r="M49" i="8"/>
  <c r="M54" i="8" s="1"/>
  <c r="M58" i="8" s="1"/>
  <c r="H61" i="8"/>
  <c r="H49" i="8"/>
  <c r="H54" i="8" s="1"/>
  <c r="H58" i="8" s="1"/>
  <c r="E61" i="8"/>
  <c r="E49" i="8"/>
  <c r="E54" i="8" s="1"/>
  <c r="E58" i="8" s="1"/>
  <c r="E34" i="8"/>
  <c r="E33" i="8"/>
  <c r="F49" i="8"/>
  <c r="F54" i="8" s="1"/>
  <c r="F58" i="8" s="1"/>
  <c r="F34" i="8"/>
  <c r="H34" i="8" s="1"/>
  <c r="M34" i="8" s="1"/>
  <c r="F33" i="8"/>
  <c r="H33" i="8" s="1"/>
  <c r="M33" i="8" s="1"/>
  <c r="F61" i="8"/>
  <c r="F38" i="8"/>
  <c r="F50" i="8"/>
  <c r="F55" i="8" s="1"/>
  <c r="F59" i="8" s="1"/>
  <c r="F37" i="8"/>
  <c r="D31" i="7"/>
  <c r="D47" i="7"/>
  <c r="D52" i="7" s="1"/>
  <c r="D56" i="7" s="1"/>
  <c r="D32" i="7"/>
  <c r="E47" i="7"/>
  <c r="E52" i="7" s="1"/>
  <c r="E56" i="7" s="1"/>
  <c r="E32" i="7"/>
  <c r="E31" i="7"/>
  <c r="D48" i="7"/>
  <c r="D53" i="7" s="1"/>
  <c r="D57" i="7" s="1"/>
  <c r="D35" i="7"/>
  <c r="D36" i="7"/>
  <c r="E36" i="7"/>
  <c r="E48" i="7"/>
  <c r="E53" i="7" s="1"/>
  <c r="E57" i="7" s="1"/>
  <c r="E35" i="7"/>
  <c r="AC28" i="10" l="1"/>
  <c r="AC22" i="10"/>
  <c r="AC23" i="10"/>
  <c r="AC30" i="10"/>
  <c r="AC29" i="10"/>
  <c r="AC24" i="10"/>
  <c r="AC20" i="10"/>
  <c r="AC31" i="10"/>
  <c r="AC27" i="10"/>
  <c r="AE27" i="10" s="1"/>
  <c r="AE31" i="10" s="1"/>
  <c r="AC21" i="10"/>
  <c r="AC19" i="10"/>
  <c r="AC26" i="10"/>
  <c r="AC25" i="10"/>
  <c r="E65" i="8"/>
  <c r="E69" i="8" s="1"/>
  <c r="E71" i="8"/>
  <c r="K6" i="8"/>
  <c r="K25" i="8" s="1"/>
  <c r="K29" i="8" s="1"/>
  <c r="L75" i="8"/>
  <c r="L81" i="8"/>
  <c r="P6" i="8"/>
  <c r="P25" i="8" s="1"/>
  <c r="P29" i="8" s="1"/>
  <c r="K50" i="8"/>
  <c r="K55" i="8" s="1"/>
  <c r="K59" i="8" s="1"/>
  <c r="K34" i="8"/>
  <c r="H25" i="8"/>
  <c r="H29" i="8" s="1"/>
  <c r="K33" i="8"/>
  <c r="E37" i="8"/>
  <c r="E38" i="8"/>
  <c r="E50" i="8"/>
  <c r="E55" i="8" s="1"/>
  <c r="E59" i="8" s="1"/>
  <c r="AG29" i="10" l="1"/>
  <c r="AG23" i="10"/>
  <c r="AG22" i="10"/>
  <c r="AG20" i="10"/>
  <c r="AG25" i="10"/>
  <c r="AG19" i="10"/>
  <c r="AG21" i="10"/>
  <c r="AG26" i="10"/>
  <c r="AG31" i="10"/>
  <c r="AG24" i="10"/>
  <c r="AG28" i="10"/>
  <c r="AG30" i="10"/>
  <c r="E33" i="10" s="1"/>
  <c r="A129" i="11" s="1"/>
  <c r="AG27" i="10"/>
  <c r="H71" i="8"/>
  <c r="H65" i="8"/>
  <c r="H69" i="8" s="1"/>
  <c r="P50" i="8"/>
  <c r="P55" i="8" s="1"/>
  <c r="P59" i="8" s="1"/>
  <c r="P65" i="8"/>
  <c r="P38" i="8"/>
  <c r="P37" i="8"/>
  <c r="E78" i="8"/>
  <c r="L87" i="8"/>
  <c r="H37" i="8"/>
  <c r="M37" i="8" s="1"/>
  <c r="K65" i="8"/>
  <c r="L78" i="8" s="1"/>
  <c r="L77" i="8"/>
  <c r="K71" i="8"/>
  <c r="L88" i="8" s="1"/>
  <c r="H50" i="8"/>
  <c r="H55" i="8" s="1"/>
  <c r="H59" i="8" s="1"/>
  <c r="H38" i="8"/>
  <c r="F129" i="11" l="1"/>
  <c r="J129" i="11"/>
  <c r="G129" i="11"/>
  <c r="H129" i="11"/>
  <c r="E129" i="11"/>
  <c r="I129" i="11"/>
  <c r="D129" i="11"/>
  <c r="K37" i="8"/>
  <c r="M38" i="8"/>
  <c r="K38" i="8"/>
  <c r="E134" i="11" l="1"/>
  <c r="E131" i="11"/>
  <c r="H131" i="11"/>
  <c r="H134" i="11"/>
  <c r="D134" i="11"/>
  <c r="D131" i="11"/>
  <c r="G131" i="11"/>
  <c r="G134" i="11"/>
  <c r="I134" i="11"/>
  <c r="I131" i="11"/>
  <c r="J134" i="11"/>
  <c r="J131" i="11"/>
  <c r="F134" i="11"/>
  <c r="F131" i="11"/>
  <c r="J137" i="11" l="1"/>
  <c r="J5" i="13" s="1"/>
  <c r="J10" i="13" s="1"/>
  <c r="J13" i="13" s="1"/>
  <c r="J16" i="13" s="1"/>
  <c r="J18" i="13" s="1"/>
  <c r="H137" i="11"/>
  <c r="H5" i="13" s="1"/>
  <c r="H10" i="13" s="1"/>
  <c r="H13" i="13" s="1"/>
  <c r="H16" i="13" s="1"/>
  <c r="F137" i="11"/>
  <c r="F5" i="13" s="1"/>
  <c r="F10" i="13" s="1"/>
  <c r="F13" i="13" s="1"/>
  <c r="F16" i="13" s="1"/>
  <c r="I137" i="11"/>
  <c r="I5" i="13" s="1"/>
  <c r="I10" i="13" s="1"/>
  <c r="I13" i="13" s="1"/>
  <c r="I16" i="13" s="1"/>
  <c r="D137" i="11"/>
  <c r="D5" i="13" s="1"/>
  <c r="D10" i="13" s="1"/>
  <c r="D13" i="13" s="1"/>
  <c r="D16" i="13" s="1"/>
  <c r="E137" i="11"/>
  <c r="E5" i="13" s="1"/>
  <c r="E10" i="13" s="1"/>
  <c r="E13" i="13" s="1"/>
  <c r="E16" i="13" s="1"/>
  <c r="G137" i="11"/>
  <c r="G5" i="13" s="1"/>
  <c r="G10" i="13" s="1"/>
  <c r="G13" i="13" s="1"/>
  <c r="G16" i="13" s="1"/>
</calcChain>
</file>

<file path=xl/sharedStrings.xml><?xml version="1.0" encoding="utf-8"?>
<sst xmlns="http://schemas.openxmlformats.org/spreadsheetml/2006/main" count="432" uniqueCount="275">
  <si>
    <t>Turning AQH into Revenue</t>
  </si>
  <si>
    <t>Data to Input</t>
  </si>
  <si>
    <t>To Get a 0.1 rating nationally</t>
  </si>
  <si>
    <t>Adults 25-54</t>
  </si>
  <si>
    <t>Men 25-54</t>
  </si>
  <si>
    <t>Price per 0.1</t>
  </si>
  <si>
    <t>Low</t>
  </si>
  <si>
    <t>High</t>
  </si>
  <si>
    <t>Station's AQH as a % of</t>
  </si>
  <si>
    <t>AQH required to get to a 0.1</t>
  </si>
  <si>
    <t xml:space="preserve">Price client willing to pay </t>
  </si>
  <si>
    <t>for a full point (1.0), Price per point:</t>
  </si>
  <si>
    <t>Station AQH (for a 6a-7p ROS spot)</t>
  </si>
  <si>
    <t>Number of ROS Spots/Week</t>
  </si>
  <si>
    <t>Weekly Value to Us for M25-54</t>
  </si>
  <si>
    <t>Weekly Value to Us for A25-54</t>
  </si>
  <si>
    <t>Assuming full Sell Out:</t>
  </si>
  <si>
    <t>Number of Spots per Week</t>
  </si>
  <si>
    <t>spots per hour</t>
  </si>
  <si>
    <t>hours</t>
  </si>
  <si>
    <t>spots per weekday</t>
  </si>
  <si>
    <t>days per week</t>
  </si>
  <si>
    <t>spots per week</t>
  </si>
  <si>
    <t>Value per Week</t>
  </si>
  <si>
    <t>spots at the prices above.</t>
  </si>
  <si>
    <t>Value per Year (x52) -- fully sold out</t>
  </si>
  <si>
    <t>weeks</t>
  </si>
  <si>
    <t>Price per spot with Czabe's AQH</t>
  </si>
  <si>
    <t>Sellout rate</t>
  </si>
  <si>
    <t>Today's AQH</t>
  </si>
  <si>
    <t>Total Spots We Get Each Week</t>
  </si>
  <si>
    <t>Fully Sold-Out Weekly Revenue of all spots</t>
  </si>
  <si>
    <t>This is 3 minutes per each morning drive, weekdays</t>
  </si>
  <si>
    <t xml:space="preserve">New </t>
  </si>
  <si>
    <t>AQH</t>
  </si>
  <si>
    <t>Value of</t>
  </si>
  <si>
    <t>Baseline for 0.1</t>
  </si>
  <si>
    <t>Adults 25-54 AQH</t>
  </si>
  <si>
    <t>Sportsflash</t>
  </si>
  <si>
    <t xml:space="preserve">Value of </t>
  </si>
  <si>
    <t>Additional</t>
  </si>
  <si>
    <t>Start with 1 spot</t>
  </si>
  <si>
    <t xml:space="preserve">per week to </t>
  </si>
  <si>
    <t>pay for affiliate work</t>
  </si>
  <si>
    <t>SportsFlash</t>
  </si>
  <si>
    <t xml:space="preserve">AQH post </t>
  </si>
  <si>
    <t>Growth from Skyview</t>
  </si>
  <si>
    <t xml:space="preserve">Value of spots climbs with </t>
  </si>
  <si>
    <t>higher AQH</t>
  </si>
  <si>
    <t>Market Information:</t>
  </si>
  <si>
    <t>Our Information:</t>
  </si>
  <si>
    <t xml:space="preserve">Our AQH as % of amount required for </t>
  </si>
  <si>
    <t>a 0.1 rating point</t>
  </si>
  <si>
    <t>Market Value per spot (:30 spot)</t>
  </si>
  <si>
    <t>Proposal/Comments:</t>
  </si>
  <si>
    <t xml:space="preserve">Skyview hits AQH goal of </t>
  </si>
  <si>
    <t>Spots/week</t>
  </si>
  <si>
    <t xml:space="preserve">Skyview weekly units climbs to </t>
  </si>
  <si>
    <t>AQH growth increases value of units</t>
  </si>
  <si>
    <t>When….</t>
  </si>
  <si>
    <t>New Total Monthly Revenue Potential</t>
  </si>
  <si>
    <t>Yahoo Sports Radio</t>
  </si>
  <si>
    <t>Value of New</t>
  </si>
  <si>
    <t>AQH to</t>
  </si>
  <si>
    <t>Our spots/week</t>
  </si>
  <si>
    <t>Number of Spots per Week -- today</t>
  </si>
  <si>
    <t>YSR</t>
  </si>
  <si>
    <t>For Skyview</t>
  </si>
  <si>
    <t>Fully Sold-Out Weekly Revenue -- Skyview</t>
  </si>
  <si>
    <t>Fully Sold-Out Weekly Revenue -- YSR</t>
  </si>
  <si>
    <t xml:space="preserve">Skyview increased AQH by </t>
  </si>
  <si>
    <t>Receives signfiicant share of units</t>
  </si>
  <si>
    <t>YSR paying costs to support</t>
  </si>
  <si>
    <t>Skyview:</t>
  </si>
  <si>
    <t>YSR:</t>
  </si>
  <si>
    <t>Revenue potential increases from</t>
  </si>
  <si>
    <t>todays "fully sold-out level"</t>
  </si>
  <si>
    <t>To shared level with Skyview</t>
  </si>
  <si>
    <t>This is Value per month of</t>
  </si>
  <si>
    <t>AQH delivery (for a 6a-7p ROS spot)</t>
  </si>
  <si>
    <t>Czaban</t>
  </si>
  <si>
    <t>Rodgers</t>
  </si>
  <si>
    <t>Ketchum</t>
  </si>
  <si>
    <t>8 to 10</t>
  </si>
  <si>
    <t>Overnights</t>
  </si>
  <si>
    <t>ROS</t>
  </si>
  <si>
    <t>Sports Update</t>
  </si>
  <si>
    <t>A25-54 AQH</t>
  </si>
  <si>
    <t>Spots</t>
  </si>
  <si>
    <t xml:space="preserve"># of </t>
  </si>
  <si>
    <t>Pepe/Ryan</t>
  </si>
  <si>
    <t>Prime Cut</t>
  </si>
  <si>
    <t xml:space="preserve">Weekly </t>
  </si>
  <si>
    <t>Value</t>
  </si>
  <si>
    <t>TOTALS</t>
  </si>
  <si>
    <t>Total</t>
  </si>
  <si>
    <t>% of</t>
  </si>
  <si>
    <t>Prime</t>
  </si>
  <si>
    <t>time only</t>
  </si>
  <si>
    <t>March 2014 (fall book)</t>
  </si>
  <si>
    <t>Determining Revenue Attributed to Sports Flash</t>
  </si>
  <si>
    <t>A Pure AQH-Determined Revenue allocation</t>
  </si>
  <si>
    <t>Conclusion: SFRN share of traditional revenue</t>
  </si>
  <si>
    <t>Advertiser</t>
  </si>
  <si>
    <t>Jan, 2014</t>
  </si>
  <si>
    <t>Feb, 2014</t>
  </si>
  <si>
    <t>Mar, 2014</t>
  </si>
  <si>
    <t>April, 2014</t>
  </si>
  <si>
    <t>May, 2014</t>
  </si>
  <si>
    <t>June, 2014</t>
  </si>
  <si>
    <t>ACE HARDWARE</t>
  </si>
  <si>
    <t>A/C PRO</t>
  </si>
  <si>
    <t>ADT</t>
  </si>
  <si>
    <t>ADVANCE AUTO PARTS</t>
  </si>
  <si>
    <t>ALL TAX DEBT CLIENTS</t>
  </si>
  <si>
    <t>AT&amp;t</t>
  </si>
  <si>
    <t>BELVITA</t>
  </si>
  <si>
    <t>BERRYMAN PRODUCTS</t>
  </si>
  <si>
    <t>BIG E SPORTS SHOW</t>
  </si>
  <si>
    <t>BOSTON BEER</t>
  </si>
  <si>
    <t>BROTHER</t>
  </si>
  <si>
    <t>CARFAX</t>
  </si>
  <si>
    <t>CAT</t>
  </si>
  <si>
    <t>CENTER FOR MEDICAL TOURISM</t>
  </si>
  <si>
    <t>CHATTEM</t>
  </si>
  <si>
    <t>CHURCH &amp; DWIGHT</t>
  </si>
  <si>
    <t>CITRUS MAGIC</t>
  </si>
  <si>
    <t>CONSOLIDATED CREDIT</t>
  </si>
  <si>
    <t>COVER 5</t>
  </si>
  <si>
    <t>CUSTOM INK</t>
  </si>
  <si>
    <t>CYPRESS ARMORY</t>
  </si>
  <si>
    <t>DAVID DEWHURST</t>
  </si>
  <si>
    <t>DRAFT KINGS</t>
  </si>
  <si>
    <t>EXERGEN</t>
  </si>
  <si>
    <t>EXXON</t>
  </si>
  <si>
    <t>FAN DUEL</t>
  </si>
  <si>
    <t>FERGUSON</t>
  </si>
  <si>
    <t>FIRESTONE</t>
  </si>
  <si>
    <t>FOX ENTERTAINMENT</t>
  </si>
  <si>
    <t>FUDDRUCKERS HAMBURGERS</t>
  </si>
  <si>
    <t>GEICO</t>
  </si>
  <si>
    <t>GENERAL MOTORS</t>
  </si>
  <si>
    <t xml:space="preserve">GOURMET FOODS </t>
  </si>
  <si>
    <t>GUITAR CENTER</t>
  </si>
  <si>
    <t>H&amp;R BLOCK</t>
  </si>
  <si>
    <t>HANGAR TALK</t>
  </si>
  <si>
    <t>HBO</t>
  </si>
  <si>
    <t>HISTORY CHANNEL</t>
  </si>
  <si>
    <t>HOME DEPOT</t>
  </si>
  <si>
    <t>HOTELS.COM</t>
  </si>
  <si>
    <t>INSPERITY</t>
  </si>
  <si>
    <t>INTUIT TURBO TAX</t>
  </si>
  <si>
    <t>J ALLEN CARNES</t>
  </si>
  <si>
    <t>JC PENNY</t>
  </si>
  <si>
    <t>JOHN DEERE</t>
  </si>
  <si>
    <t>LIVEDEAL INC</t>
  </si>
  <si>
    <t>LOCKER ROOM PICKS LLC</t>
  </si>
  <si>
    <t>LOWES</t>
  </si>
  <si>
    <t>LUMBER LIQUIDATORS</t>
  </si>
  <si>
    <t>MARKETING ARCHITECTS</t>
  </si>
  <si>
    <t>MDSS/SKINNY7</t>
  </si>
  <si>
    <t>MENTAL BRIGHT</t>
  </si>
  <si>
    <t>MERCK PHARMACEUTICALS</t>
  </si>
  <si>
    <t>MMA ON THE MOVE</t>
  </si>
  <si>
    <t>MOTEL 6</t>
  </si>
  <si>
    <t>MUSCLE CARS</t>
  </si>
  <si>
    <t>MUTUAL OF OMAHA</t>
  </si>
  <si>
    <t>NAPA</t>
  </si>
  <si>
    <t>NAR</t>
  </si>
  <si>
    <t>NATIONAL ASSOC. OF REALTORS</t>
  </si>
  <si>
    <t>NATIONAL MORTGAGE HELPLINE</t>
  </si>
  <si>
    <t>NBC</t>
  </si>
  <si>
    <t>NEW RELIC</t>
  </si>
  <si>
    <t>NO NO</t>
  </si>
  <si>
    <t>NYLABONE</t>
  </si>
  <si>
    <t>OFFICE MAX</t>
  </si>
  <si>
    <t>PF CHANG'S CHINA BISTRO</t>
  </si>
  <si>
    <t>PERRY GOLF</t>
  </si>
  <si>
    <t>PFIZER</t>
  </si>
  <si>
    <t>POWER SWABS</t>
  </si>
  <si>
    <t>PRO FLOWERS (A)</t>
  </si>
  <si>
    <t>PROGRESSIVE</t>
  </si>
  <si>
    <t>QUAKER STATE</t>
  </si>
  <si>
    <t>QUICKEN LOANS (DIRECT)</t>
  </si>
  <si>
    <t>QUICKEN LOANS (AGENCY)</t>
  </si>
  <si>
    <t>SAGE SOFTWARE</t>
  </si>
  <si>
    <t>SAM'S CLUB</t>
  </si>
  <si>
    <t>SAMS CLUB</t>
  </si>
  <si>
    <t>SCOTTS MIRACLE GROW CO</t>
  </si>
  <si>
    <t>SEARS</t>
  </si>
  <si>
    <t>SHERWIN WILLIAMS</t>
  </si>
  <si>
    <t>SID MILLER CAMPAIGN</t>
  </si>
  <si>
    <t xml:space="preserve">SIMPLY HIRED </t>
  </si>
  <si>
    <t>SKYVIEW NETWORKS</t>
  </si>
  <si>
    <t>SPORTS AUTHORITY</t>
  </si>
  <si>
    <t>STAPLES, INC.</t>
  </si>
  <si>
    <t>STUDENT LOAN SERVICES</t>
  </si>
  <si>
    <t>SUPER 8</t>
  </si>
  <si>
    <t>TAX ACT</t>
  </si>
  <si>
    <t>THE HOME DEPOT</t>
  </si>
  <si>
    <t>VALVOLINE</t>
  </si>
  <si>
    <t>VANDA PHARMACEUTICALS INC</t>
  </si>
  <si>
    <t>VAPEX</t>
  </si>
  <si>
    <t>VANETIAN</t>
  </si>
  <si>
    <t>WELLS FARGO</t>
  </si>
  <si>
    <t>WHITMEYER'S DISTILLING CO. LLC</t>
  </si>
  <si>
    <t>Exclusions from Sports Flash (Paid programming)</t>
  </si>
  <si>
    <t>Total Excluded:</t>
  </si>
  <si>
    <t>Other Adjustment:</t>
  </si>
  <si>
    <t>Total Quicken</t>
  </si>
  <si>
    <t>Sports Flash Calculation:</t>
  </si>
  <si>
    <t>SFRN % of Traditional revenue</t>
  </si>
  <si>
    <t>SFRN % of Quicken</t>
  </si>
  <si>
    <t>Another Look: Total Sell-out Value of SFRN</t>
  </si>
  <si>
    <t>Weekly Number of Spots</t>
  </si>
  <si>
    <t>Weekly Number of Minutes</t>
  </si>
  <si>
    <t>Total Sell-Out Value per week</t>
  </si>
  <si>
    <t>Total Sell-out value per year (at 50 weeks)</t>
  </si>
  <si>
    <t>Profit and Loss at Different Revenue Levels</t>
  </si>
  <si>
    <t>Total Costs:</t>
  </si>
  <si>
    <t>Sinnott</t>
  </si>
  <si>
    <t>Monthly</t>
  </si>
  <si>
    <t>Annual</t>
  </si>
  <si>
    <t>Last Iteration</t>
  </si>
  <si>
    <t>Today's Team</t>
  </si>
  <si>
    <t>Barrett</t>
  </si>
  <si>
    <t>Branham</t>
  </si>
  <si>
    <t>Peterlin</t>
  </si>
  <si>
    <t>Plavin</t>
  </si>
  <si>
    <t>Zieban</t>
  </si>
  <si>
    <t>Desiere</t>
  </si>
  <si>
    <t>% Time:</t>
  </si>
  <si>
    <t>Will P</t>
  </si>
  <si>
    <t>SFRN Net Revenue</t>
  </si>
  <si>
    <t>Net Results</t>
  </si>
  <si>
    <t>Burgess</t>
  </si>
  <si>
    <t>The Purchase Price Formula</t>
  </si>
  <si>
    <t>50% of net results</t>
  </si>
  <si>
    <t>(Sinnott Share)</t>
  </si>
  <si>
    <t>Multiply by 4</t>
  </si>
  <si>
    <t>to get equity value</t>
  </si>
  <si>
    <t>Sports Flash Share of Revennue</t>
  </si>
  <si>
    <t>SFRN % of Traditional Revenue</t>
  </si>
  <si>
    <t>Sales Commissions on SFRN share of Revenue</t>
  </si>
  <si>
    <t>Total Company Net Revenue</t>
  </si>
  <si>
    <t>Company net less exclusions</t>
  </si>
  <si>
    <t>Less allowance for bad debt</t>
  </si>
  <si>
    <t>Company net less Quicken</t>
  </si>
  <si>
    <t>Company Traditional net revenue after bad debt</t>
  </si>
  <si>
    <t>Quicken Net Revenue (no bad debt to date)</t>
  </si>
  <si>
    <t>SFRN NET REVENUE after Commissions</t>
  </si>
  <si>
    <t>Annual Outcome:</t>
  </si>
  <si>
    <t>Tally of Profit and Loss and Equity Payment</t>
  </si>
  <si>
    <t>Total Value</t>
  </si>
  <si>
    <t>minutes/wk</t>
  </si>
  <si>
    <t xml:space="preserve">Conclusion: every 110,000 AQH is worth about: </t>
  </si>
  <si>
    <t># of :30</t>
  </si>
  <si>
    <t>spots</t>
  </si>
  <si>
    <t>Sold Out</t>
  </si>
  <si>
    <t>For Comparison</t>
  </si>
  <si>
    <t>6-months</t>
  </si>
  <si>
    <t>Total Sell out Dollars*</t>
  </si>
  <si>
    <t>* From first spreadsheet</t>
  </si>
  <si>
    <t>Total Achor Costs</t>
  </si>
  <si>
    <t>(after bad debt/commissions)</t>
  </si>
  <si>
    <t>Yahoo Weekend (Sat/Sun afternoons only)</t>
  </si>
  <si>
    <t xml:space="preserve">SFRN share of Quicken Revenue </t>
  </si>
  <si>
    <t>10-1a</t>
  </si>
  <si>
    <t>AQH Value of Spots</t>
  </si>
  <si>
    <t>TOTAL NET REVENUE</t>
  </si>
  <si>
    <t>Remove uncollectable/bad debt/discreps:</t>
  </si>
  <si>
    <t>Company net after bad debt (before Quicken revenue)</t>
  </si>
  <si>
    <t>Total Revenue Eligible for SFRN</t>
  </si>
  <si>
    <t>SFRN % of Quicken (Graham's override)</t>
  </si>
  <si>
    <t>VENETIAN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</si>
</sst>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0" xfId="0" applyAlignment="1">
      <alignment horizontal="left"/>
    </xf>
    <xf numFmtId="9" fontId="0" fillId="0" borderId="0" xfId="0" applyNumberFormat="1"/>
    <xf numFmtId="0" fontId="1" fillId="0" borderId="1" xfId="0" applyFont="1" applyBorder="1"/>
    <xf numFmtId="164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3" borderId="0" xfId="0" applyFill="1" applyAlignment="1">
      <alignment horizontal="left"/>
    </xf>
    <xf numFmtId="9" fontId="0" fillId="3" borderId="0" xfId="0" applyNumberFormat="1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center"/>
    </xf>
    <xf numFmtId="3" fontId="0" fillId="0" borderId="0" xfId="0" applyNumberForma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0" xfId="0" applyBorder="1"/>
    <xf numFmtId="164" fontId="0" fillId="0" borderId="9" xfId="0" applyNumberForma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6" fontId="0" fillId="0" borderId="0" xfId="0" applyNumberFormat="1" applyBorder="1"/>
    <xf numFmtId="164" fontId="1" fillId="4" borderId="11" xfId="0" applyNumberFormat="1" applyFont="1" applyFill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1" fillId="0" borderId="14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Fill="1" applyBorder="1" applyAlignment="1">
      <alignment horizontal="left"/>
    </xf>
    <xf numFmtId="9" fontId="0" fillId="0" borderId="0" xfId="0" applyNumberFormat="1" applyAlignment="1">
      <alignment horizontal="left"/>
    </xf>
    <xf numFmtId="0" fontId="1" fillId="0" borderId="0" xfId="0" applyFont="1" applyFill="1" applyBorder="1"/>
    <xf numFmtId="164" fontId="0" fillId="0" borderId="0" xfId="0" applyNumberFormat="1" applyAlignment="1"/>
    <xf numFmtId="164" fontId="1" fillId="0" borderId="1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0" xfId="0" applyFont="1" applyBorder="1"/>
    <xf numFmtId="0" fontId="0" fillId="0" borderId="8" xfId="0" applyBorder="1"/>
    <xf numFmtId="9" fontId="0" fillId="0" borderId="7" xfId="0" applyNumberFormat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2" xfId="0" applyBorder="1"/>
    <xf numFmtId="0" fontId="0" fillId="0" borderId="2" xfId="0" applyBorder="1" applyAlignment="1">
      <alignment horizontal="center"/>
    </xf>
    <xf numFmtId="166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1" fillId="0" borderId="18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165" fontId="0" fillId="0" borderId="0" xfId="0" applyNumberFormat="1" applyBorder="1"/>
    <xf numFmtId="164" fontId="0" fillId="0" borderId="0" xfId="0" applyNumberFormat="1" applyFont="1" applyAlignment="1">
      <alignment horizontal="left"/>
    </xf>
    <xf numFmtId="164" fontId="0" fillId="0" borderId="11" xfId="0" applyNumberFormat="1" applyBorder="1" applyAlignment="1"/>
    <xf numFmtId="164" fontId="1" fillId="2" borderId="11" xfId="0" applyNumberFormat="1" applyFont="1" applyFill="1" applyBorder="1" applyAlignment="1"/>
    <xf numFmtId="164" fontId="1" fillId="4" borderId="0" xfId="0" applyNumberFormat="1" applyFont="1" applyFill="1" applyAlignment="1"/>
    <xf numFmtId="164" fontId="2" fillId="5" borderId="0" xfId="0" applyNumberFormat="1" applyFont="1" applyFill="1" applyAlignment="1"/>
    <xf numFmtId="164" fontId="0" fillId="0" borderId="13" xfId="0" applyNumberFormat="1" applyBorder="1" applyAlignment="1"/>
    <xf numFmtId="164" fontId="1" fillId="2" borderId="13" xfId="0" applyNumberFormat="1" applyFont="1" applyFill="1" applyBorder="1" applyAlignment="1"/>
    <xf numFmtId="164" fontId="1" fillId="0" borderId="0" xfId="0" applyNumberFormat="1" applyFont="1" applyAlignment="1"/>
    <xf numFmtId="164" fontId="0" fillId="0" borderId="0" xfId="0" applyNumberFormat="1" applyBorder="1" applyAlignment="1"/>
    <xf numFmtId="164" fontId="0" fillId="0" borderId="1" xfId="0" applyNumberFormat="1" applyBorder="1" applyAlignment="1"/>
    <xf numFmtId="0" fontId="0" fillId="0" borderId="2" xfId="0" applyBorder="1" applyAlignment="1"/>
    <xf numFmtId="166" fontId="1" fillId="0" borderId="0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H26" sqref="H26"/>
    </sheetView>
  </sheetViews>
  <sheetFormatPr defaultRowHeight="15" x14ac:dyDescent="0.25"/>
  <cols>
    <col min="1" max="1" width="2.7109375" customWidth="1"/>
    <col min="2" max="2" width="4.7109375" customWidth="1"/>
    <col min="3" max="3" width="34.140625" customWidth="1"/>
    <col min="4" max="4" width="14.140625" style="2" customWidth="1"/>
    <col min="5" max="5" width="16.28515625" customWidth="1"/>
  </cols>
  <sheetData>
    <row r="1" spans="1:5" x14ac:dyDescent="0.25">
      <c r="A1" s="1" t="s">
        <v>0</v>
      </c>
    </row>
    <row r="2" spans="1:5" x14ac:dyDescent="0.25">
      <c r="A2" s="3"/>
      <c r="B2" t="s">
        <v>1</v>
      </c>
    </row>
    <row r="4" spans="1:5" x14ac:dyDescent="0.25">
      <c r="A4" t="s">
        <v>12</v>
      </c>
    </row>
    <row r="5" spans="1:5" x14ac:dyDescent="0.25">
      <c r="B5" t="s">
        <v>4</v>
      </c>
      <c r="D5" s="4">
        <v>16200</v>
      </c>
    </row>
    <row r="6" spans="1:5" x14ac:dyDescent="0.25">
      <c r="B6" t="s">
        <v>3</v>
      </c>
      <c r="D6" s="4">
        <v>18000</v>
      </c>
    </row>
    <row r="9" spans="1:5" x14ac:dyDescent="0.25">
      <c r="A9" t="s">
        <v>2</v>
      </c>
    </row>
    <row r="10" spans="1:5" x14ac:dyDescent="0.25">
      <c r="D10" s="7" t="s">
        <v>6</v>
      </c>
      <c r="E10" s="8" t="s">
        <v>7</v>
      </c>
    </row>
    <row r="11" spans="1:5" x14ac:dyDescent="0.25">
      <c r="B11" t="s">
        <v>4</v>
      </c>
      <c r="D11" s="5">
        <f>48000</f>
        <v>48000</v>
      </c>
      <c r="E11" s="5">
        <f>65000</f>
        <v>65000</v>
      </c>
    </row>
    <row r="12" spans="1:5" x14ac:dyDescent="0.25">
      <c r="B12" t="s">
        <v>3</v>
      </c>
      <c r="D12" s="5">
        <f>D11*2</f>
        <v>96000</v>
      </c>
      <c r="E12" s="5">
        <f>E11*2</f>
        <v>130000</v>
      </c>
    </row>
    <row r="13" spans="1:5" x14ac:dyDescent="0.25">
      <c r="D13" s="5"/>
      <c r="E13" s="5"/>
    </row>
    <row r="14" spans="1:5" x14ac:dyDescent="0.25">
      <c r="A14" t="s">
        <v>8</v>
      </c>
      <c r="D14" s="5"/>
      <c r="E14" s="5"/>
    </row>
    <row r="15" spans="1:5" x14ac:dyDescent="0.25">
      <c r="A15" t="s">
        <v>9</v>
      </c>
      <c r="D15" s="5"/>
      <c r="E15" s="5"/>
    </row>
    <row r="16" spans="1:5" x14ac:dyDescent="0.25">
      <c r="D16" s="5"/>
      <c r="E16" s="5"/>
    </row>
    <row r="17" spans="1:5" x14ac:dyDescent="0.25">
      <c r="B17" t="s">
        <v>4</v>
      </c>
      <c r="D17" s="9">
        <f>$D$5/D11</f>
        <v>0.33750000000000002</v>
      </c>
      <c r="E17" s="9">
        <f>$D$5/E11</f>
        <v>0.24923076923076923</v>
      </c>
    </row>
    <row r="18" spans="1:5" x14ac:dyDescent="0.25">
      <c r="B18" t="s">
        <v>3</v>
      </c>
      <c r="D18" s="9">
        <f>$D$6/D12</f>
        <v>0.1875</v>
      </c>
      <c r="E18" s="9">
        <f>$D$6/E12</f>
        <v>0.13846153846153847</v>
      </c>
    </row>
    <row r="19" spans="1:5" x14ac:dyDescent="0.25">
      <c r="D19" s="5"/>
      <c r="E19" s="5"/>
    </row>
    <row r="20" spans="1:5" x14ac:dyDescent="0.25">
      <c r="A20" t="s">
        <v>10</v>
      </c>
      <c r="D20" s="5"/>
      <c r="E20" s="5"/>
    </row>
    <row r="21" spans="1:5" x14ac:dyDescent="0.25">
      <c r="A21" t="s">
        <v>11</v>
      </c>
      <c r="D21" s="10">
        <f>2500</f>
        <v>2500</v>
      </c>
      <c r="E21" s="5"/>
    </row>
    <row r="22" spans="1:5" x14ac:dyDescent="0.25">
      <c r="D22" s="11"/>
      <c r="E22" s="5"/>
    </row>
    <row r="23" spans="1:5" x14ac:dyDescent="0.25">
      <c r="A23" t="s">
        <v>5</v>
      </c>
      <c r="D23" s="11">
        <f>D21*0.1</f>
        <v>250</v>
      </c>
      <c r="E23" s="6"/>
    </row>
    <row r="24" spans="1:5" x14ac:dyDescent="0.25">
      <c r="D24" s="5"/>
      <c r="E24" s="6"/>
    </row>
    <row r="25" spans="1:5" x14ac:dyDescent="0.25">
      <c r="A25" t="s">
        <v>27</v>
      </c>
      <c r="D25" s="5"/>
      <c r="E25" s="6"/>
    </row>
    <row r="26" spans="1:5" x14ac:dyDescent="0.25">
      <c r="B26" t="s">
        <v>4</v>
      </c>
      <c r="D26" s="11">
        <f>D23*D17</f>
        <v>84.375</v>
      </c>
      <c r="E26" s="11">
        <f>D23*E17</f>
        <v>62.307692307692307</v>
      </c>
    </row>
    <row r="27" spans="1:5" x14ac:dyDescent="0.25">
      <c r="B27" t="s">
        <v>3</v>
      </c>
      <c r="D27" s="11">
        <f>D23*D18</f>
        <v>46.875</v>
      </c>
      <c r="E27" s="11">
        <f>D23*E18</f>
        <v>34.61538461538462</v>
      </c>
    </row>
    <row r="28" spans="1:5" x14ac:dyDescent="0.25">
      <c r="D28" s="11"/>
      <c r="E28" s="11"/>
    </row>
    <row r="29" spans="1:5" hidden="1" x14ac:dyDescent="0.25">
      <c r="D29" s="13" t="s">
        <v>16</v>
      </c>
      <c r="E29" s="8"/>
    </row>
    <row r="30" spans="1:5" hidden="1" x14ac:dyDescent="0.25">
      <c r="A30" t="s">
        <v>13</v>
      </c>
      <c r="D30" s="13" t="s">
        <v>14</v>
      </c>
      <c r="E30" s="8"/>
    </row>
    <row r="31" spans="1:5" hidden="1" x14ac:dyDescent="0.25">
      <c r="B31" s="2">
        <v>30</v>
      </c>
      <c r="D31" s="11">
        <f>D26*B31</f>
        <v>2531.25</v>
      </c>
      <c r="E31" s="11">
        <f>E26*B31</f>
        <v>1869.2307692307693</v>
      </c>
    </row>
    <row r="32" spans="1:5" hidden="1" x14ac:dyDescent="0.25">
      <c r="B32" s="2">
        <v>60</v>
      </c>
      <c r="D32" s="11">
        <f>B32*D26</f>
        <v>5062.5</v>
      </c>
      <c r="E32" s="11">
        <f>B32*E26</f>
        <v>3738.4615384615386</v>
      </c>
    </row>
    <row r="33" spans="1:5" hidden="1" x14ac:dyDescent="0.25">
      <c r="B33" s="2"/>
      <c r="D33" s="11"/>
      <c r="E33" s="12"/>
    </row>
    <row r="34" spans="1:5" hidden="1" x14ac:dyDescent="0.25">
      <c r="B34" s="2"/>
      <c r="D34" s="14" t="s">
        <v>15</v>
      </c>
      <c r="E34" s="15"/>
    </row>
    <row r="35" spans="1:5" hidden="1" x14ac:dyDescent="0.25">
      <c r="B35" s="2">
        <v>30</v>
      </c>
      <c r="D35" s="11">
        <f>B35*D27</f>
        <v>1406.25</v>
      </c>
      <c r="E35" s="11">
        <f>B35*E27</f>
        <v>1038.4615384615386</v>
      </c>
    </row>
    <row r="36" spans="1:5" hidden="1" x14ac:dyDescent="0.25">
      <c r="B36" s="2">
        <v>60</v>
      </c>
      <c r="D36" s="11">
        <f>B36*D27</f>
        <v>2812.5</v>
      </c>
      <c r="E36" s="11">
        <f>B36*E27</f>
        <v>2076.9230769230771</v>
      </c>
    </row>
    <row r="37" spans="1:5" ht="14.45" x14ac:dyDescent="0.3">
      <c r="B37" s="2"/>
    </row>
    <row r="38" spans="1:5" ht="14.45" x14ac:dyDescent="0.3">
      <c r="A38" t="s">
        <v>17</v>
      </c>
    </row>
    <row r="39" spans="1:5" ht="14.45" x14ac:dyDescent="0.3">
      <c r="B39" s="16">
        <v>10</v>
      </c>
      <c r="C39" t="s">
        <v>18</v>
      </c>
    </row>
    <row r="40" spans="1:5" ht="14.45" x14ac:dyDescent="0.3">
      <c r="B40" s="16">
        <v>4</v>
      </c>
      <c r="C40" t="s">
        <v>19</v>
      </c>
    </row>
    <row r="41" spans="1:5" ht="14.45" x14ac:dyDescent="0.3">
      <c r="B41" s="16">
        <f>B39*B40</f>
        <v>40</v>
      </c>
      <c r="C41" t="s">
        <v>20</v>
      </c>
    </row>
    <row r="42" spans="1:5" ht="14.45" x14ac:dyDescent="0.3">
      <c r="B42" s="16">
        <v>5</v>
      </c>
      <c r="C42" t="s">
        <v>21</v>
      </c>
    </row>
    <row r="43" spans="1:5" ht="14.45" x14ac:dyDescent="0.3">
      <c r="B43" s="16">
        <f>B41*B42</f>
        <v>200</v>
      </c>
      <c r="C43" t="s">
        <v>22</v>
      </c>
    </row>
    <row r="45" spans="1:5" x14ac:dyDescent="0.25">
      <c r="A45" t="s">
        <v>23</v>
      </c>
    </row>
    <row r="46" spans="1:5" x14ac:dyDescent="0.25">
      <c r="B46">
        <v>200</v>
      </c>
      <c r="C46" t="s">
        <v>24</v>
      </c>
    </row>
    <row r="47" spans="1:5" x14ac:dyDescent="0.25">
      <c r="B47" t="s">
        <v>4</v>
      </c>
      <c r="D47" s="11">
        <f>$B$46*D26</f>
        <v>16875</v>
      </c>
      <c r="E47" s="11">
        <f>$B$46*E26</f>
        <v>12461.538461538461</v>
      </c>
    </row>
    <row r="48" spans="1:5" x14ac:dyDescent="0.25">
      <c r="B48" t="s">
        <v>3</v>
      </c>
      <c r="D48" s="11">
        <f>$B$46*D27</f>
        <v>9375</v>
      </c>
      <c r="E48" s="11">
        <f>$B$46*E27</f>
        <v>6923.0769230769238</v>
      </c>
    </row>
    <row r="50" spans="1:5" x14ac:dyDescent="0.25">
      <c r="A50" t="s">
        <v>25</v>
      </c>
    </row>
    <row r="51" spans="1:5" x14ac:dyDescent="0.25">
      <c r="B51" s="16">
        <v>52</v>
      </c>
      <c r="C51" t="s">
        <v>26</v>
      </c>
    </row>
    <row r="52" spans="1:5" x14ac:dyDescent="0.25">
      <c r="B52" t="s">
        <v>4</v>
      </c>
      <c r="D52" s="11">
        <f>$B$51*D47</f>
        <v>877500</v>
      </c>
      <c r="E52" s="11">
        <f>$B$51*E47</f>
        <v>648000</v>
      </c>
    </row>
    <row r="53" spans="1:5" x14ac:dyDescent="0.25">
      <c r="B53" t="s">
        <v>3</v>
      </c>
      <c r="D53" s="11">
        <f>$B$51*D48</f>
        <v>487500</v>
      </c>
      <c r="E53" s="11">
        <f>$B$51*E48</f>
        <v>360000.00000000006</v>
      </c>
    </row>
    <row r="55" spans="1:5" x14ac:dyDescent="0.25">
      <c r="A55" t="s">
        <v>28</v>
      </c>
    </row>
    <row r="56" spans="1:5" x14ac:dyDescent="0.25">
      <c r="B56" s="17">
        <f>0.75</f>
        <v>0.75</v>
      </c>
      <c r="C56" t="s">
        <v>4</v>
      </c>
      <c r="D56" s="11">
        <f>$B$56*D52</f>
        <v>658125</v>
      </c>
      <c r="E56" s="11">
        <f>$B$56*E52</f>
        <v>486000</v>
      </c>
    </row>
    <row r="57" spans="1:5" x14ac:dyDescent="0.25">
      <c r="C57" t="s">
        <v>3</v>
      </c>
      <c r="D57" s="11">
        <f>$B$56*D53</f>
        <v>365625</v>
      </c>
      <c r="E57" s="11">
        <f>$B$56*E53</f>
        <v>270000.00000000006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workbookViewId="0">
      <selection activeCell="R14" sqref="R14"/>
    </sheetView>
  </sheetViews>
  <sheetFormatPr defaultRowHeight="15" x14ac:dyDescent="0.25"/>
  <cols>
    <col min="1" max="1" width="2.7109375" customWidth="1"/>
    <col min="2" max="2" width="2.42578125" customWidth="1"/>
    <col min="3" max="3" width="11.85546875" customWidth="1"/>
    <col min="4" max="4" width="25.28515625" customWidth="1"/>
    <col min="5" max="5" width="22.7109375" style="2" customWidth="1"/>
    <col min="6" max="6" width="16.28515625" style="2" hidden="1" customWidth="1"/>
    <col min="7" max="7" width="4.7109375" customWidth="1"/>
    <col min="8" max="8" width="25.7109375" customWidth="1"/>
    <col min="9" max="9" width="5" customWidth="1"/>
    <col min="10" max="10" width="11.85546875" customWidth="1"/>
    <col min="11" max="11" width="24" customWidth="1"/>
    <col min="12" max="12" width="8.140625" customWidth="1"/>
    <col min="13" max="13" width="15.85546875" hidden="1" customWidth="1"/>
    <col min="14" max="14" width="0" hidden="1" customWidth="1"/>
    <col min="15" max="15" width="23.140625" hidden="1" customWidth="1"/>
    <col min="16" max="16" width="22.5703125" hidden="1" customWidth="1"/>
    <col min="17" max="17" width="0" hidden="1" customWidth="1"/>
  </cols>
  <sheetData>
    <row r="1" spans="1:16" x14ac:dyDescent="0.25">
      <c r="A1" s="1" t="s">
        <v>0</v>
      </c>
      <c r="H1" s="27" t="s">
        <v>35</v>
      </c>
      <c r="K1" s="27" t="s">
        <v>44</v>
      </c>
      <c r="M1" s="31" t="s">
        <v>39</v>
      </c>
      <c r="P1" s="30" t="s">
        <v>62</v>
      </c>
    </row>
    <row r="2" spans="1:16" x14ac:dyDescent="0.25">
      <c r="A2" s="3"/>
      <c r="B2" t="s">
        <v>1</v>
      </c>
      <c r="E2" s="27" t="s">
        <v>38</v>
      </c>
      <c r="H2" s="27" t="s">
        <v>33</v>
      </c>
      <c r="K2" s="27" t="s">
        <v>45</v>
      </c>
      <c r="M2" s="31" t="s">
        <v>40</v>
      </c>
      <c r="P2" s="30" t="s">
        <v>63</v>
      </c>
    </row>
    <row r="3" spans="1:16" x14ac:dyDescent="0.25">
      <c r="E3" s="21" t="s">
        <v>29</v>
      </c>
      <c r="H3" s="21" t="s">
        <v>34</v>
      </c>
      <c r="K3" s="21" t="s">
        <v>46</v>
      </c>
      <c r="M3" s="21" t="s">
        <v>34</v>
      </c>
      <c r="P3" s="18" t="s">
        <v>61</v>
      </c>
    </row>
    <row r="4" spans="1:16" x14ac:dyDescent="0.25">
      <c r="A4" t="s">
        <v>79</v>
      </c>
      <c r="H4" s="2"/>
      <c r="M4" s="2"/>
    </row>
    <row r="5" spans="1:16" hidden="1" x14ac:dyDescent="0.25">
      <c r="B5" t="s">
        <v>4</v>
      </c>
      <c r="E5" s="4">
        <v>16200</v>
      </c>
      <c r="H5" s="4">
        <v>16200</v>
      </c>
      <c r="M5" s="4">
        <v>16200</v>
      </c>
    </row>
    <row r="6" spans="1:16" x14ac:dyDescent="0.25">
      <c r="B6" t="s">
        <v>3</v>
      </c>
      <c r="E6" s="26">
        <f>61800</f>
        <v>61800</v>
      </c>
      <c r="H6" s="26">
        <f>H13-E6</f>
        <v>34200</v>
      </c>
      <c r="K6" s="26">
        <f>E6+H6</f>
        <v>96000</v>
      </c>
      <c r="M6" s="26">
        <f>50000</f>
        <v>50000</v>
      </c>
      <c r="P6" s="5">
        <f>H6</f>
        <v>34200</v>
      </c>
    </row>
    <row r="7" spans="1:16" x14ac:dyDescent="0.25">
      <c r="H7" s="2"/>
      <c r="M7" s="2"/>
      <c r="P7" s="2"/>
    </row>
    <row r="8" spans="1:16" x14ac:dyDescent="0.25">
      <c r="H8" s="2"/>
      <c r="M8" s="2"/>
      <c r="P8" s="2"/>
    </row>
    <row r="9" spans="1:16" x14ac:dyDescent="0.25">
      <c r="A9" s="8" t="s">
        <v>49</v>
      </c>
      <c r="B9" s="8"/>
      <c r="C9" s="8"/>
      <c r="H9" s="2"/>
      <c r="M9" s="2"/>
      <c r="P9" s="2"/>
    </row>
    <row r="10" spans="1:16" x14ac:dyDescent="0.25">
      <c r="H10" s="2"/>
      <c r="M10" s="2"/>
      <c r="P10" s="2"/>
    </row>
    <row r="11" spans="1:16" x14ac:dyDescent="0.25">
      <c r="A11" t="s">
        <v>2</v>
      </c>
      <c r="E11" s="21" t="s">
        <v>36</v>
      </c>
      <c r="F11" s="21" t="s">
        <v>7</v>
      </c>
      <c r="H11" s="21" t="s">
        <v>36</v>
      </c>
      <c r="K11" s="21" t="s">
        <v>36</v>
      </c>
      <c r="M11" s="21" t="s">
        <v>36</v>
      </c>
      <c r="P11" s="21" t="s">
        <v>36</v>
      </c>
    </row>
    <row r="12" spans="1:16" hidden="1" x14ac:dyDescent="0.25">
      <c r="B12" t="s">
        <v>4</v>
      </c>
      <c r="E12" s="5">
        <f>48000</f>
        <v>48000</v>
      </c>
      <c r="F12" s="5">
        <f>65000</f>
        <v>65000</v>
      </c>
      <c r="H12" s="5">
        <f>48000</f>
        <v>48000</v>
      </c>
      <c r="K12" s="5">
        <f>48000</f>
        <v>48000</v>
      </c>
      <c r="M12" s="5">
        <f>48000</f>
        <v>48000</v>
      </c>
      <c r="P12" s="5">
        <f>48000</f>
        <v>48000</v>
      </c>
    </row>
    <row r="13" spans="1:16" x14ac:dyDescent="0.25">
      <c r="B13" t="s">
        <v>37</v>
      </c>
      <c r="E13" s="5">
        <f>E12*2</f>
        <v>96000</v>
      </c>
      <c r="F13" s="5">
        <f>F12*2</f>
        <v>130000</v>
      </c>
      <c r="H13" s="5">
        <f>H12*2</f>
        <v>96000</v>
      </c>
      <c r="K13" s="5">
        <f>K12*2</f>
        <v>96000</v>
      </c>
      <c r="M13" s="5">
        <f>M12*2</f>
        <v>96000</v>
      </c>
      <c r="P13" s="5">
        <f>P12*2</f>
        <v>96000</v>
      </c>
    </row>
    <row r="14" spans="1:16" x14ac:dyDescent="0.25">
      <c r="E14" s="5"/>
      <c r="F14" s="5"/>
      <c r="H14" s="5"/>
      <c r="K14" s="5"/>
      <c r="M14" s="5"/>
      <c r="P14" s="5"/>
    </row>
    <row r="15" spans="1:16" x14ac:dyDescent="0.25">
      <c r="A15" t="s">
        <v>10</v>
      </c>
      <c r="E15" s="5"/>
      <c r="F15" s="5"/>
      <c r="H15" s="5"/>
      <c r="K15" s="5"/>
      <c r="M15" s="5"/>
      <c r="P15" s="5"/>
    </row>
    <row r="16" spans="1:16" x14ac:dyDescent="0.25">
      <c r="A16" t="s">
        <v>11</v>
      </c>
      <c r="E16" s="22">
        <f>2500</f>
        <v>2500</v>
      </c>
      <c r="F16" s="5"/>
      <c r="H16" s="22">
        <f>2500</f>
        <v>2500</v>
      </c>
      <c r="K16" s="22">
        <f>2500</f>
        <v>2500</v>
      </c>
      <c r="M16" s="5"/>
      <c r="P16" s="22">
        <f>2500</f>
        <v>2500</v>
      </c>
    </row>
    <row r="17" spans="1:16" x14ac:dyDescent="0.25">
      <c r="E17" s="11"/>
      <c r="F17" s="5"/>
      <c r="H17" s="11"/>
      <c r="K17" s="11"/>
      <c r="M17" s="5"/>
      <c r="P17" s="11"/>
    </row>
    <row r="18" spans="1:16" x14ac:dyDescent="0.25">
      <c r="A18" t="s">
        <v>5</v>
      </c>
      <c r="E18" s="11">
        <f>E16*0.1</f>
        <v>250</v>
      </c>
      <c r="F18" s="5"/>
      <c r="H18" s="11">
        <f>H16*0.1</f>
        <v>250</v>
      </c>
      <c r="K18" s="11">
        <f>K16*0.1</f>
        <v>250</v>
      </c>
      <c r="M18" s="5"/>
      <c r="P18" s="11">
        <f>P16*0.1</f>
        <v>250</v>
      </c>
    </row>
    <row r="19" spans="1:16" x14ac:dyDescent="0.25">
      <c r="E19" s="5"/>
      <c r="F19" s="5"/>
      <c r="H19" s="5"/>
      <c r="K19" s="5"/>
      <c r="M19" s="5"/>
      <c r="P19" s="5"/>
    </row>
    <row r="20" spans="1:16" x14ac:dyDescent="0.25">
      <c r="A20" s="8" t="s">
        <v>50</v>
      </c>
      <c r="B20" s="8"/>
      <c r="C20" s="8"/>
      <c r="E20" s="5"/>
      <c r="F20" s="5"/>
      <c r="H20" s="5"/>
      <c r="K20" s="5"/>
      <c r="M20" s="5"/>
      <c r="P20" s="5"/>
    </row>
    <row r="21" spans="1:16" x14ac:dyDescent="0.25">
      <c r="E21" s="5"/>
      <c r="F21" s="5"/>
      <c r="H21" s="5"/>
      <c r="K21" s="5"/>
      <c r="M21" s="5"/>
      <c r="P21" s="5"/>
    </row>
    <row r="22" spans="1:16" x14ac:dyDescent="0.25">
      <c r="B22" t="s">
        <v>51</v>
      </c>
      <c r="E22" s="5"/>
      <c r="F22" s="5"/>
      <c r="H22" s="5"/>
      <c r="K22" s="5"/>
      <c r="M22" s="5"/>
      <c r="P22" s="5"/>
    </row>
    <row r="23" spans="1:16" x14ac:dyDescent="0.25">
      <c r="B23" t="s">
        <v>52</v>
      </c>
      <c r="E23" s="5"/>
      <c r="F23" s="5"/>
      <c r="H23" s="5"/>
      <c r="K23" s="5"/>
      <c r="M23" s="5"/>
      <c r="P23" s="5"/>
    </row>
    <row r="24" spans="1:16" hidden="1" x14ac:dyDescent="0.25">
      <c r="B24" t="s">
        <v>4</v>
      </c>
      <c r="E24" s="9">
        <f>$E$5/E12</f>
        <v>0.33750000000000002</v>
      </c>
      <c r="F24" s="9">
        <f>$E$5/F12</f>
        <v>0.24923076923076923</v>
      </c>
      <c r="H24" s="9">
        <f>$E$5/H12</f>
        <v>0.33750000000000002</v>
      </c>
      <c r="K24" s="9">
        <f>$E$5/K12</f>
        <v>0.33750000000000002</v>
      </c>
      <c r="M24" s="9">
        <f>$E$5/M12</f>
        <v>0.33750000000000002</v>
      </c>
      <c r="P24" s="9">
        <f>$E$5/P12</f>
        <v>0.33750000000000002</v>
      </c>
    </row>
    <row r="25" spans="1:16" x14ac:dyDescent="0.25">
      <c r="B25" t="s">
        <v>3</v>
      </c>
      <c r="E25" s="9">
        <f>E6/E13</f>
        <v>0.64375000000000004</v>
      </c>
      <c r="F25" s="9">
        <f>$E$6/F13</f>
        <v>0.47538461538461541</v>
      </c>
      <c r="H25" s="9">
        <f>H6/H13</f>
        <v>0.35625000000000001</v>
      </c>
      <c r="K25" s="9">
        <f>K6/K13</f>
        <v>1</v>
      </c>
      <c r="M25" s="9">
        <f>M6/M13</f>
        <v>0.52083333333333337</v>
      </c>
      <c r="P25" s="9">
        <f>P6/P13</f>
        <v>0.35625000000000001</v>
      </c>
    </row>
    <row r="26" spans="1:16" x14ac:dyDescent="0.25">
      <c r="E26" s="5"/>
      <c r="F26" s="5"/>
      <c r="H26" s="5"/>
      <c r="K26" s="5"/>
      <c r="M26" s="5"/>
      <c r="P26" s="5"/>
    </row>
    <row r="27" spans="1:16" x14ac:dyDescent="0.25">
      <c r="A27" t="s">
        <v>53</v>
      </c>
      <c r="E27" s="5"/>
      <c r="F27" s="5"/>
      <c r="H27" s="5"/>
      <c r="K27" s="5"/>
      <c r="M27" s="5"/>
      <c r="P27" s="5"/>
    </row>
    <row r="28" spans="1:16" hidden="1" x14ac:dyDescent="0.25">
      <c r="B28" t="s">
        <v>4</v>
      </c>
      <c r="E28" s="11">
        <f>E18*E24</f>
        <v>84.375</v>
      </c>
      <c r="F28" s="11">
        <f>E18*F24</f>
        <v>62.307692307692307</v>
      </c>
      <c r="H28" s="11">
        <f>H18*H24</f>
        <v>84.375</v>
      </c>
      <c r="K28" s="11">
        <f>K18*K24</f>
        <v>84.375</v>
      </c>
      <c r="M28" s="11" t="e">
        <f>#REF!*M24</f>
        <v>#REF!</v>
      </c>
      <c r="P28" s="11">
        <f>P18*P24</f>
        <v>84.375</v>
      </c>
    </row>
    <row r="29" spans="1:16" x14ac:dyDescent="0.25">
      <c r="B29" t="s">
        <v>3</v>
      </c>
      <c r="E29" s="11">
        <f>E18*E25</f>
        <v>160.9375</v>
      </c>
      <c r="F29" s="11">
        <f>E18*F25</f>
        <v>118.84615384615385</v>
      </c>
      <c r="H29" s="11">
        <f>H18*H25</f>
        <v>89.0625</v>
      </c>
      <c r="K29" s="11">
        <f>K18*K25</f>
        <v>250</v>
      </c>
      <c r="M29" s="11" t="e">
        <f>#REF!*M25</f>
        <v>#REF!</v>
      </c>
      <c r="P29" s="11">
        <f>P18*P25</f>
        <v>89.0625</v>
      </c>
    </row>
    <row r="30" spans="1:16" x14ac:dyDescent="0.25">
      <c r="E30" s="11"/>
      <c r="F30" s="11"/>
      <c r="H30" s="11"/>
      <c r="K30" s="11"/>
      <c r="M30" s="11"/>
      <c r="P30" s="11"/>
    </row>
    <row r="31" spans="1:16" hidden="1" x14ac:dyDescent="0.25">
      <c r="E31" s="13" t="s">
        <v>16</v>
      </c>
      <c r="F31" s="7"/>
      <c r="H31" s="13" t="s">
        <v>16</v>
      </c>
      <c r="K31" s="13" t="s">
        <v>16</v>
      </c>
      <c r="M31" s="7" t="s">
        <v>16</v>
      </c>
      <c r="P31" s="7" t="s">
        <v>16</v>
      </c>
    </row>
    <row r="32" spans="1:16" hidden="1" x14ac:dyDescent="0.25">
      <c r="A32" t="s">
        <v>13</v>
      </c>
      <c r="E32" s="13" t="s">
        <v>14</v>
      </c>
      <c r="F32" s="7"/>
      <c r="H32" s="13" t="s">
        <v>14</v>
      </c>
      <c r="K32" s="13" t="s">
        <v>14</v>
      </c>
      <c r="M32" s="7" t="s">
        <v>14</v>
      </c>
      <c r="P32" s="7" t="s">
        <v>14</v>
      </c>
    </row>
    <row r="33" spans="1:16" hidden="1" x14ac:dyDescent="0.25">
      <c r="B33" s="2">
        <v>30</v>
      </c>
      <c r="E33" s="11">
        <f>E28*B33</f>
        <v>2531.25</v>
      </c>
      <c r="F33" s="11">
        <f>F28*B33</f>
        <v>1869.2307692307693</v>
      </c>
      <c r="H33" s="11">
        <f>H28*F33</f>
        <v>157716.34615384616</v>
      </c>
      <c r="K33" s="11">
        <f>K28*H33</f>
        <v>13307316.70673077</v>
      </c>
      <c r="M33" s="11" t="e">
        <f>M28*H33</f>
        <v>#REF!</v>
      </c>
      <c r="P33" s="11">
        <f>P28*N33</f>
        <v>0</v>
      </c>
    </row>
    <row r="34" spans="1:16" hidden="1" x14ac:dyDescent="0.25">
      <c r="B34" s="2">
        <v>60</v>
      </c>
      <c r="E34" s="11">
        <f>B34*E28</f>
        <v>5062.5</v>
      </c>
      <c r="F34" s="11">
        <f>B34*F28</f>
        <v>3738.4615384615386</v>
      </c>
      <c r="H34" s="11">
        <f>F34*H28</f>
        <v>315432.69230769231</v>
      </c>
      <c r="K34" s="11">
        <f>H34*K28</f>
        <v>26614633.41346154</v>
      </c>
      <c r="M34" s="11" t="e">
        <f>H34*M28</f>
        <v>#REF!</v>
      </c>
      <c r="P34" s="11">
        <f>N34*P28</f>
        <v>0</v>
      </c>
    </row>
    <row r="35" spans="1:16" hidden="1" x14ac:dyDescent="0.25">
      <c r="B35" s="2"/>
      <c r="E35" s="11"/>
      <c r="F35" s="11"/>
      <c r="H35" s="11"/>
      <c r="K35" s="11"/>
      <c r="M35" s="11"/>
      <c r="P35" s="11"/>
    </row>
    <row r="36" spans="1:16" hidden="1" x14ac:dyDescent="0.25">
      <c r="B36" s="2"/>
      <c r="E36" s="14" t="s">
        <v>15</v>
      </c>
      <c r="F36" s="19"/>
      <c r="H36" s="14" t="s">
        <v>15</v>
      </c>
      <c r="K36" s="14" t="s">
        <v>15</v>
      </c>
      <c r="M36" s="19" t="s">
        <v>15</v>
      </c>
      <c r="P36" s="19" t="s">
        <v>15</v>
      </c>
    </row>
    <row r="37" spans="1:16" hidden="1" x14ac:dyDescent="0.25">
      <c r="B37" s="2">
        <v>30</v>
      </c>
      <c r="E37" s="11">
        <f>B37*E29</f>
        <v>4828.125</v>
      </c>
      <c r="F37" s="11">
        <f>B37*F29</f>
        <v>3565.3846153846157</v>
      </c>
      <c r="H37" s="11">
        <f>F37*H29</f>
        <v>317542.06730769231</v>
      </c>
      <c r="K37" s="11">
        <f>H37*K29</f>
        <v>79385516.826923072</v>
      </c>
      <c r="M37" s="11" t="e">
        <f>H37*M29</f>
        <v>#REF!</v>
      </c>
      <c r="P37" s="11">
        <f>N37*P29</f>
        <v>0</v>
      </c>
    </row>
    <row r="38" spans="1:16" hidden="1" x14ac:dyDescent="0.25">
      <c r="B38" s="2">
        <v>60</v>
      </c>
      <c r="E38" s="11">
        <f>B38*E29</f>
        <v>9656.25</v>
      </c>
      <c r="F38" s="11">
        <f>B38*F29</f>
        <v>7130.7692307692314</v>
      </c>
      <c r="H38" s="11">
        <f>F38*H29</f>
        <v>635084.13461538462</v>
      </c>
      <c r="K38" s="11">
        <f>H38*K29</f>
        <v>158771033.65384614</v>
      </c>
      <c r="M38" s="11" t="e">
        <f>H38*M29</f>
        <v>#REF!</v>
      </c>
      <c r="P38" s="11">
        <f>N38*P29</f>
        <v>0</v>
      </c>
    </row>
    <row r="39" spans="1:16" hidden="1" x14ac:dyDescent="0.25">
      <c r="B39" s="2"/>
      <c r="H39" s="2"/>
      <c r="K39" s="2"/>
      <c r="M39" s="2"/>
      <c r="P39" s="2"/>
    </row>
    <row r="40" spans="1:16" hidden="1" x14ac:dyDescent="0.25">
      <c r="A40" t="s">
        <v>17</v>
      </c>
      <c r="H40" s="2"/>
      <c r="K40" s="2"/>
      <c r="M40" s="2"/>
      <c r="P40" s="2"/>
    </row>
    <row r="41" spans="1:16" hidden="1" x14ac:dyDescent="0.25">
      <c r="B41" s="16">
        <v>10</v>
      </c>
      <c r="C41" t="s">
        <v>18</v>
      </c>
      <c r="H41" s="2"/>
      <c r="K41" s="2"/>
      <c r="M41" s="2"/>
      <c r="P41" s="2"/>
    </row>
    <row r="42" spans="1:16" hidden="1" x14ac:dyDescent="0.25">
      <c r="B42" s="16">
        <v>4</v>
      </c>
      <c r="C42" t="s">
        <v>19</v>
      </c>
      <c r="H42" s="2"/>
      <c r="K42" s="2"/>
      <c r="M42" s="2"/>
      <c r="P42" s="2"/>
    </row>
    <row r="43" spans="1:16" hidden="1" x14ac:dyDescent="0.25">
      <c r="B43" s="16">
        <f>B41*B42</f>
        <v>40</v>
      </c>
      <c r="C43" t="s">
        <v>20</v>
      </c>
      <c r="H43" s="2"/>
      <c r="K43" s="2"/>
      <c r="M43" s="2"/>
      <c r="P43" s="2"/>
    </row>
    <row r="44" spans="1:16" hidden="1" x14ac:dyDescent="0.25">
      <c r="B44" s="16">
        <v>5</v>
      </c>
      <c r="C44" t="s">
        <v>21</v>
      </c>
      <c r="H44" s="2"/>
      <c r="K44" s="2"/>
      <c r="M44" s="2"/>
      <c r="P44" s="2"/>
    </row>
    <row r="45" spans="1:16" hidden="1" x14ac:dyDescent="0.25">
      <c r="B45" s="16">
        <f>B43*B44</f>
        <v>200</v>
      </c>
      <c r="C45" t="s">
        <v>22</v>
      </c>
      <c r="H45" s="2"/>
      <c r="K45" s="2"/>
      <c r="M45" s="2"/>
      <c r="P45" s="2"/>
    </row>
    <row r="46" spans="1:16" hidden="1" x14ac:dyDescent="0.25">
      <c r="H46" s="2"/>
      <c r="K46" s="2"/>
      <c r="M46" s="2"/>
      <c r="P46" s="2"/>
    </row>
    <row r="47" spans="1:16" hidden="1" x14ac:dyDescent="0.25">
      <c r="A47" t="s">
        <v>23</v>
      </c>
      <c r="H47" s="2"/>
      <c r="K47" s="2"/>
      <c r="M47" s="2"/>
      <c r="P47" s="2"/>
    </row>
    <row r="48" spans="1:16" hidden="1" x14ac:dyDescent="0.25">
      <c r="B48">
        <v>200</v>
      </c>
      <c r="C48" t="s">
        <v>24</v>
      </c>
      <c r="H48" s="2"/>
      <c r="K48" s="2"/>
      <c r="M48" s="2"/>
      <c r="P48" s="2"/>
    </row>
    <row r="49" spans="1:16" hidden="1" x14ac:dyDescent="0.25">
      <c r="B49" t="s">
        <v>4</v>
      </c>
      <c r="E49" s="11">
        <f>$B$48*E28</f>
        <v>16875</v>
      </c>
      <c r="F49" s="11">
        <f>$B$48*F28</f>
        <v>12461.538461538461</v>
      </c>
      <c r="H49" s="11">
        <f>$B$48*H28</f>
        <v>16875</v>
      </c>
      <c r="K49" s="11">
        <f>$B$48*K28</f>
        <v>16875</v>
      </c>
      <c r="M49" s="11" t="e">
        <f>$B$48*M28</f>
        <v>#REF!</v>
      </c>
      <c r="P49" s="11">
        <f>$B$48*P28</f>
        <v>16875</v>
      </c>
    </row>
    <row r="50" spans="1:16" hidden="1" x14ac:dyDescent="0.25">
      <c r="B50" t="s">
        <v>3</v>
      </c>
      <c r="E50" s="11">
        <f>$B$48*E29</f>
        <v>32187.5</v>
      </c>
      <c r="F50" s="11">
        <f>$B$48*F29</f>
        <v>23769.23076923077</v>
      </c>
      <c r="H50" s="11">
        <f>$B$48*H29</f>
        <v>17812.5</v>
      </c>
      <c r="K50" s="11">
        <f>$B$48*K29</f>
        <v>50000</v>
      </c>
      <c r="M50" s="11" t="e">
        <f>$B$48*M29</f>
        <v>#REF!</v>
      </c>
      <c r="P50" s="11">
        <f>$B$48*P29</f>
        <v>17812.5</v>
      </c>
    </row>
    <row r="51" spans="1:16" hidden="1" x14ac:dyDescent="0.25">
      <c r="H51" s="2"/>
      <c r="K51" s="2"/>
      <c r="M51" s="2"/>
      <c r="P51" s="2"/>
    </row>
    <row r="52" spans="1:16" hidden="1" x14ac:dyDescent="0.25">
      <c r="A52" t="s">
        <v>25</v>
      </c>
      <c r="H52" s="2"/>
      <c r="K52" s="2"/>
      <c r="M52" s="2"/>
      <c r="P52" s="2"/>
    </row>
    <row r="53" spans="1:16" hidden="1" x14ac:dyDescent="0.25">
      <c r="B53" s="16">
        <v>52</v>
      </c>
      <c r="C53" t="s">
        <v>26</v>
      </c>
      <c r="H53" s="2"/>
      <c r="K53" s="2"/>
      <c r="M53" s="2"/>
      <c r="P53" s="2"/>
    </row>
    <row r="54" spans="1:16" hidden="1" x14ac:dyDescent="0.25">
      <c r="B54" t="s">
        <v>4</v>
      </c>
      <c r="E54" s="11">
        <f>$B$53*E49</f>
        <v>877500</v>
      </c>
      <c r="F54" s="11">
        <f>$B$53*F49</f>
        <v>648000</v>
      </c>
      <c r="H54" s="11">
        <f>$B$53*H49</f>
        <v>877500</v>
      </c>
      <c r="K54" s="11">
        <f>$B$53*K49</f>
        <v>877500</v>
      </c>
      <c r="M54" s="11" t="e">
        <f>$B$53*M49</f>
        <v>#REF!</v>
      </c>
      <c r="P54" s="11">
        <f>$B$53*P49</f>
        <v>877500</v>
      </c>
    </row>
    <row r="55" spans="1:16" hidden="1" x14ac:dyDescent="0.25">
      <c r="B55" t="s">
        <v>3</v>
      </c>
      <c r="E55" s="11">
        <f>$B$53*E50</f>
        <v>1673750</v>
      </c>
      <c r="F55" s="11">
        <f>$B$53*F50</f>
        <v>1236000</v>
      </c>
      <c r="H55" s="11">
        <f>$B$53*H50</f>
        <v>926250</v>
      </c>
      <c r="K55" s="11">
        <f>$B$53*K50</f>
        <v>2600000</v>
      </c>
      <c r="M55" s="11" t="e">
        <f>$B$53*M50</f>
        <v>#REF!</v>
      </c>
      <c r="P55" s="11">
        <f>$B$53*P50</f>
        <v>926250</v>
      </c>
    </row>
    <row r="56" spans="1:16" hidden="1" x14ac:dyDescent="0.25">
      <c r="H56" s="2"/>
      <c r="K56" s="2"/>
      <c r="M56" s="2"/>
      <c r="P56" s="2"/>
    </row>
    <row r="57" spans="1:16" hidden="1" x14ac:dyDescent="0.25">
      <c r="A57" t="s">
        <v>28</v>
      </c>
      <c r="H57" s="2"/>
      <c r="K57" s="2"/>
      <c r="M57" s="2"/>
      <c r="P57" s="2"/>
    </row>
    <row r="58" spans="1:16" hidden="1" x14ac:dyDescent="0.25">
      <c r="B58" s="17">
        <f>0.75</f>
        <v>0.75</v>
      </c>
      <c r="C58" t="s">
        <v>4</v>
      </c>
      <c r="E58" s="11">
        <f>$B$58*E54</f>
        <v>658125</v>
      </c>
      <c r="F58" s="11">
        <f>$B$58*F54</f>
        <v>486000</v>
      </c>
      <c r="H58" s="11">
        <f>$B$58*H54</f>
        <v>658125</v>
      </c>
      <c r="K58" s="11">
        <f>$B$58*K54</f>
        <v>658125</v>
      </c>
      <c r="M58" s="11" t="e">
        <f>$B$58*M54</f>
        <v>#REF!</v>
      </c>
      <c r="P58" s="11">
        <f>$B$58*P54</f>
        <v>658125</v>
      </c>
    </row>
    <row r="59" spans="1:16" hidden="1" x14ac:dyDescent="0.25">
      <c r="C59" t="s">
        <v>3</v>
      </c>
      <c r="E59" s="11">
        <f>$B$58*E55</f>
        <v>1255312.5</v>
      </c>
      <c r="F59" s="11">
        <f>$B$58*F55</f>
        <v>927000</v>
      </c>
      <c r="H59" s="11">
        <f>$B$58*H55</f>
        <v>694687.5</v>
      </c>
      <c r="K59" s="11">
        <f>$B$58*K55</f>
        <v>1950000</v>
      </c>
      <c r="M59" s="11" t="e">
        <f>$B$58*M55</f>
        <v>#REF!</v>
      </c>
      <c r="P59" s="11">
        <f>$B$58*P55</f>
        <v>694687.5</v>
      </c>
    </row>
    <row r="60" spans="1:16" x14ac:dyDescent="0.25">
      <c r="A60" t="s">
        <v>65</v>
      </c>
      <c r="H60" s="2"/>
      <c r="J60" s="8" t="s">
        <v>56</v>
      </c>
      <c r="K60" s="2"/>
      <c r="M60" s="2"/>
      <c r="O60" t="s">
        <v>64</v>
      </c>
      <c r="P60" s="2"/>
    </row>
    <row r="61" spans="1:16" hidden="1" x14ac:dyDescent="0.25">
      <c r="B61">
        <v>15</v>
      </c>
      <c r="E61" s="11">
        <f>E28*$B$61</f>
        <v>1265.625</v>
      </c>
      <c r="F61" s="11">
        <f>F28*$B$61</f>
        <v>934.61538461538464</v>
      </c>
      <c r="H61" s="11">
        <f>H28*$B$61</f>
        <v>1265.625</v>
      </c>
      <c r="K61" s="11">
        <f>K28*$B$61</f>
        <v>1265.625</v>
      </c>
      <c r="M61" s="11" t="e">
        <f>M28*$B$61</f>
        <v>#REF!</v>
      </c>
      <c r="P61" s="11">
        <f>P28*$B$61</f>
        <v>1265.625</v>
      </c>
    </row>
    <row r="62" spans="1:16" x14ac:dyDescent="0.25">
      <c r="B62" t="s">
        <v>66</v>
      </c>
      <c r="D62" s="2">
        <f>30-D63</f>
        <v>26</v>
      </c>
      <c r="E62" s="11"/>
      <c r="F62" s="11"/>
      <c r="H62" s="11"/>
      <c r="J62" s="2">
        <f>30-J63</f>
        <v>23</v>
      </c>
      <c r="K62" s="11"/>
      <c r="M62" s="11"/>
      <c r="P62" s="11"/>
    </row>
    <row r="63" spans="1:16" ht="14.45" x14ac:dyDescent="0.3">
      <c r="B63" t="s">
        <v>67</v>
      </c>
      <c r="D63" s="2">
        <f>4</f>
        <v>4</v>
      </c>
      <c r="E63" s="11"/>
      <c r="F63" s="11"/>
      <c r="H63" s="11"/>
      <c r="J63" s="2">
        <f>7</f>
        <v>7</v>
      </c>
      <c r="K63" s="11"/>
      <c r="M63" s="11"/>
      <c r="P63" s="11"/>
    </row>
    <row r="64" spans="1:16" ht="14.45" x14ac:dyDescent="0.3">
      <c r="B64" s="16"/>
      <c r="C64" s="16"/>
      <c r="D64" s="16"/>
      <c r="E64" s="7"/>
      <c r="F64" s="20"/>
      <c r="H64" s="7"/>
      <c r="J64" s="2"/>
      <c r="K64" s="8"/>
      <c r="M64" s="7"/>
      <c r="P64" s="7"/>
    </row>
    <row r="65" spans="1:16" s="1" customFormat="1" ht="14.45" x14ac:dyDescent="0.3">
      <c r="B65" s="1" t="s">
        <v>68</v>
      </c>
      <c r="E65" s="32">
        <f>E29*D63</f>
        <v>643.75</v>
      </c>
      <c r="F65" s="32">
        <f>30</f>
        <v>30</v>
      </c>
      <c r="G65" s="33"/>
      <c r="H65" s="32">
        <f>H29*D63</f>
        <v>356.25</v>
      </c>
      <c r="I65" s="33"/>
      <c r="J65" s="33"/>
      <c r="K65" s="37">
        <f>K29*J63</f>
        <v>1750</v>
      </c>
      <c r="L65" s="33"/>
      <c r="M65" s="32" t="e">
        <f>M29*C64</f>
        <v>#REF!</v>
      </c>
      <c r="P65" s="32">
        <f>P29*K64</f>
        <v>0</v>
      </c>
    </row>
    <row r="66" spans="1:16" hidden="1" x14ac:dyDescent="0.25">
      <c r="E66" s="11"/>
      <c r="F66" s="11"/>
      <c r="G66" s="12"/>
      <c r="H66" s="11"/>
      <c r="I66" s="12"/>
      <c r="J66" s="12"/>
      <c r="K66" s="12"/>
      <c r="L66" s="12"/>
      <c r="M66" s="11"/>
    </row>
    <row r="67" spans="1:16" hidden="1" x14ac:dyDescent="0.25">
      <c r="A67" t="s">
        <v>30</v>
      </c>
      <c r="E67" s="11"/>
      <c r="F67" s="11"/>
      <c r="G67" s="12"/>
      <c r="H67" s="11"/>
      <c r="I67" s="12"/>
      <c r="J67" s="12"/>
      <c r="K67" s="12"/>
      <c r="L67" s="12"/>
      <c r="M67" s="11"/>
    </row>
    <row r="68" spans="1:16" ht="15.75" hidden="1" thickBot="1" x14ac:dyDescent="0.3">
      <c r="B68" s="16">
        <v>30</v>
      </c>
      <c r="C68" s="16" t="s">
        <v>32</v>
      </c>
      <c r="E68" s="28"/>
      <c r="F68" s="11"/>
      <c r="G68" s="12"/>
      <c r="H68" s="28"/>
      <c r="I68" s="12"/>
      <c r="J68" s="12"/>
      <c r="K68" s="12"/>
      <c r="L68" s="12"/>
      <c r="M68" s="28"/>
    </row>
    <row r="69" spans="1:16" s="1" customFormat="1" hidden="1" x14ac:dyDescent="0.25">
      <c r="B69" s="1" t="s">
        <v>31</v>
      </c>
      <c r="E69" s="32">
        <f>E65*B68</f>
        <v>19312.5</v>
      </c>
      <c r="F69" s="32"/>
      <c r="G69" s="33"/>
      <c r="H69" s="32">
        <f>H65*B68</f>
        <v>10687.5</v>
      </c>
      <c r="I69" s="33"/>
      <c r="J69" s="33"/>
      <c r="K69" s="33"/>
      <c r="L69" s="33"/>
      <c r="M69" s="32" t="e">
        <f>M65*B68</f>
        <v>#REF!</v>
      </c>
    </row>
    <row r="70" spans="1:16" hidden="1" x14ac:dyDescent="0.25"/>
    <row r="71" spans="1:16" s="1" customFormat="1" ht="14.45" x14ac:dyDescent="0.3">
      <c r="B71" s="1" t="s">
        <v>69</v>
      </c>
      <c r="E71" s="32">
        <f>D62*E29</f>
        <v>4184.375</v>
      </c>
      <c r="F71" s="32"/>
      <c r="G71" s="32"/>
      <c r="H71" s="32">
        <f>H29*D62</f>
        <v>2315.625</v>
      </c>
      <c r="I71" s="32"/>
      <c r="J71" s="32"/>
      <c r="K71" s="37">
        <f>J62*K29</f>
        <v>5750</v>
      </c>
      <c r="L71" s="32"/>
      <c r="M71" s="32"/>
      <c r="N71" s="32"/>
      <c r="O71" s="32"/>
      <c r="P71" s="32"/>
    </row>
    <row r="72" spans="1:16" thickBot="1" x14ac:dyDescent="0.35">
      <c r="A72" s="34"/>
      <c r="B72" s="34"/>
      <c r="C72" s="34"/>
      <c r="D72" s="34"/>
      <c r="E72" s="35"/>
      <c r="F72" s="35"/>
      <c r="G72" s="34"/>
      <c r="H72" s="34"/>
      <c r="I72" s="34"/>
      <c r="J72" s="34"/>
      <c r="K72" s="34"/>
      <c r="L72" s="34"/>
      <c r="M72" s="34"/>
    </row>
    <row r="73" spans="1:16" ht="14.45" x14ac:dyDescent="0.3">
      <c r="A73" s="29"/>
      <c r="B73" s="29"/>
      <c r="C73" s="29"/>
      <c r="D73" s="29"/>
      <c r="E73" s="36"/>
      <c r="F73" s="36"/>
      <c r="G73" s="29"/>
      <c r="H73" s="29"/>
      <c r="I73" s="29"/>
      <c r="J73" s="29"/>
      <c r="K73" s="29"/>
      <c r="L73" s="29"/>
      <c r="M73" s="29"/>
    </row>
    <row r="74" spans="1:16" x14ac:dyDescent="0.25">
      <c r="A74" s="1" t="s">
        <v>54</v>
      </c>
      <c r="E74" s="2" t="s">
        <v>41</v>
      </c>
      <c r="H74" t="s">
        <v>47</v>
      </c>
      <c r="I74" s="29"/>
      <c r="J74" s="29" t="s">
        <v>59</v>
      </c>
      <c r="K74" s="29"/>
      <c r="L74" s="29"/>
      <c r="M74" s="29"/>
    </row>
    <row r="75" spans="1:16" ht="14.45" x14ac:dyDescent="0.3">
      <c r="E75" s="2" t="s">
        <v>42</v>
      </c>
      <c r="H75" t="s">
        <v>48</v>
      </c>
      <c r="J75" t="s">
        <v>55</v>
      </c>
      <c r="L75" s="6">
        <f>H6</f>
        <v>34200</v>
      </c>
    </row>
    <row r="76" spans="1:16" x14ac:dyDescent="0.25">
      <c r="E76" s="2" t="s">
        <v>43</v>
      </c>
      <c r="J76" t="s">
        <v>57</v>
      </c>
      <c r="L76">
        <f>J63</f>
        <v>7</v>
      </c>
    </row>
    <row r="77" spans="1:16" x14ac:dyDescent="0.25">
      <c r="E77" s="2" t="s">
        <v>78</v>
      </c>
      <c r="J77" t="s">
        <v>58</v>
      </c>
      <c r="L77" s="12">
        <f>K29</f>
        <v>250</v>
      </c>
    </row>
    <row r="78" spans="1:16" x14ac:dyDescent="0.25">
      <c r="E78" s="11">
        <f>E65*4</f>
        <v>2575</v>
      </c>
      <c r="J78" t="s">
        <v>60</v>
      </c>
      <c r="L78" s="12">
        <f>K65*4</f>
        <v>7000</v>
      </c>
    </row>
    <row r="80" spans="1:16" x14ac:dyDescent="0.25">
      <c r="I80" s="8" t="s">
        <v>73</v>
      </c>
      <c r="J80" s="8"/>
    </row>
    <row r="81" spans="9:12" x14ac:dyDescent="0.25">
      <c r="J81" t="s">
        <v>70</v>
      </c>
      <c r="L81" s="17">
        <f>H6/E6</f>
        <v>0.55339805825242716</v>
      </c>
    </row>
    <row r="82" spans="9:12" x14ac:dyDescent="0.25">
      <c r="J82" t="s">
        <v>71</v>
      </c>
      <c r="L82" s="17">
        <f>J63/(J62+J63)</f>
        <v>0.23333333333333334</v>
      </c>
    </row>
    <row r="84" spans="9:12" x14ac:dyDescent="0.25">
      <c r="I84" s="8" t="s">
        <v>74</v>
      </c>
      <c r="J84" s="8"/>
    </row>
    <row r="85" spans="9:12" x14ac:dyDescent="0.25">
      <c r="J85" t="s">
        <v>72</v>
      </c>
    </row>
    <row r="86" spans="9:12" x14ac:dyDescent="0.25">
      <c r="J86" t="s">
        <v>75</v>
      </c>
    </row>
    <row r="87" spans="9:12" x14ac:dyDescent="0.25">
      <c r="J87" t="s">
        <v>76</v>
      </c>
      <c r="L87" s="12">
        <f>E65+E71</f>
        <v>4828.125</v>
      </c>
    </row>
    <row r="88" spans="9:12" x14ac:dyDescent="0.25">
      <c r="J88" t="s">
        <v>77</v>
      </c>
      <c r="L88" s="12">
        <f>K71</f>
        <v>5750</v>
      </c>
    </row>
  </sheetData>
  <printOptions gridLines="1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selection activeCell="H18" sqref="H18"/>
    </sheetView>
  </sheetViews>
  <sheetFormatPr defaultRowHeight="15" x14ac:dyDescent="0.25"/>
  <cols>
    <col min="1" max="1" width="2.7109375" customWidth="1"/>
    <col min="2" max="2" width="4.7109375" customWidth="1"/>
    <col min="3" max="3" width="34.140625" customWidth="1"/>
    <col min="4" max="4" width="14.140625" style="2" customWidth="1"/>
    <col min="5" max="5" width="16.28515625" customWidth="1"/>
  </cols>
  <sheetData>
    <row r="1" spans="1:5" x14ac:dyDescent="0.25">
      <c r="A1" s="1" t="s">
        <v>0</v>
      </c>
    </row>
    <row r="2" spans="1:5" x14ac:dyDescent="0.25">
      <c r="A2" s="3"/>
      <c r="B2" t="s">
        <v>1</v>
      </c>
    </row>
    <row r="4" spans="1:5" x14ac:dyDescent="0.25">
      <c r="A4" t="s">
        <v>12</v>
      </c>
    </row>
    <row r="5" spans="1:5" x14ac:dyDescent="0.25">
      <c r="B5" t="s">
        <v>4</v>
      </c>
      <c r="D5" s="4">
        <v>16200</v>
      </c>
    </row>
    <row r="6" spans="1:5" x14ac:dyDescent="0.25">
      <c r="B6" t="s">
        <v>3</v>
      </c>
      <c r="D6" s="4">
        <v>18000</v>
      </c>
    </row>
    <row r="9" spans="1:5" x14ac:dyDescent="0.25">
      <c r="A9" t="s">
        <v>2</v>
      </c>
    </row>
    <row r="10" spans="1:5" x14ac:dyDescent="0.25">
      <c r="D10" s="7" t="s">
        <v>6</v>
      </c>
      <c r="E10" s="8" t="s">
        <v>7</v>
      </c>
    </row>
    <row r="11" spans="1:5" x14ac:dyDescent="0.25">
      <c r="B11" t="s">
        <v>4</v>
      </c>
      <c r="D11" s="5">
        <f>48000</f>
        <v>48000</v>
      </c>
      <c r="E11" s="5">
        <f>65000</f>
        <v>65000</v>
      </c>
    </row>
    <row r="12" spans="1:5" x14ac:dyDescent="0.25">
      <c r="B12" t="s">
        <v>3</v>
      </c>
      <c r="D12" s="5">
        <f>D11*2</f>
        <v>96000</v>
      </c>
      <c r="E12" s="5">
        <f>E11*2</f>
        <v>130000</v>
      </c>
    </row>
    <row r="13" spans="1:5" x14ac:dyDescent="0.25">
      <c r="D13" s="5"/>
      <c r="E13" s="5"/>
    </row>
    <row r="14" spans="1:5" x14ac:dyDescent="0.25">
      <c r="A14" t="s">
        <v>8</v>
      </c>
      <c r="D14" s="5"/>
      <c r="E14" s="5"/>
    </row>
    <row r="15" spans="1:5" x14ac:dyDescent="0.25">
      <c r="A15" t="s">
        <v>9</v>
      </c>
      <c r="D15" s="5"/>
      <c r="E15" s="5"/>
    </row>
    <row r="16" spans="1:5" x14ac:dyDescent="0.25">
      <c r="D16" s="5"/>
      <c r="E16" s="5"/>
    </row>
    <row r="17" spans="1:5" x14ac:dyDescent="0.25">
      <c r="B17" t="s">
        <v>4</v>
      </c>
      <c r="D17" s="9">
        <f>$D$5/D11</f>
        <v>0.33750000000000002</v>
      </c>
      <c r="E17" s="9">
        <f>$D$5/E11</f>
        <v>0.24923076923076923</v>
      </c>
    </row>
    <row r="18" spans="1:5" x14ac:dyDescent="0.25">
      <c r="B18" t="s">
        <v>3</v>
      </c>
      <c r="D18" s="9">
        <f>$D$6/D12</f>
        <v>0.1875</v>
      </c>
      <c r="E18" s="9">
        <f>$D$6/E12</f>
        <v>0.13846153846153847</v>
      </c>
    </row>
    <row r="19" spans="1:5" x14ac:dyDescent="0.25">
      <c r="D19" s="5"/>
      <c r="E19" s="5"/>
    </row>
    <row r="20" spans="1:5" x14ac:dyDescent="0.25">
      <c r="A20" t="s">
        <v>10</v>
      </c>
      <c r="D20" s="5"/>
      <c r="E20" s="5"/>
    </row>
    <row r="21" spans="1:5" x14ac:dyDescent="0.25">
      <c r="A21" t="s">
        <v>11</v>
      </c>
      <c r="D21" s="10">
        <f>2500</f>
        <v>2500</v>
      </c>
      <c r="E21" s="5"/>
    </row>
    <row r="22" spans="1:5" x14ac:dyDescent="0.25">
      <c r="D22" s="11"/>
      <c r="E22" s="5"/>
    </row>
    <row r="23" spans="1:5" x14ac:dyDescent="0.25">
      <c r="A23" t="s">
        <v>5</v>
      </c>
      <c r="D23" s="11">
        <f>D21*0.1</f>
        <v>250</v>
      </c>
      <c r="E23" s="6"/>
    </row>
    <row r="24" spans="1:5" x14ac:dyDescent="0.25">
      <c r="D24" s="5"/>
      <c r="E24" s="6"/>
    </row>
    <row r="25" spans="1:5" x14ac:dyDescent="0.25">
      <c r="A25" t="s">
        <v>27</v>
      </c>
      <c r="D25" s="5"/>
      <c r="E25" s="6"/>
    </row>
    <row r="26" spans="1:5" x14ac:dyDescent="0.25">
      <c r="B26" t="s">
        <v>4</v>
      </c>
      <c r="D26" s="11">
        <f>D23*D17</f>
        <v>84.375</v>
      </c>
      <c r="E26" s="11">
        <f>D23*E17</f>
        <v>62.307692307692307</v>
      </c>
    </row>
    <row r="27" spans="1:5" x14ac:dyDescent="0.25">
      <c r="B27" t="s">
        <v>3</v>
      </c>
      <c r="D27" s="11">
        <f>D23*D18</f>
        <v>46.875</v>
      </c>
      <c r="E27" s="11">
        <f>D23*E18</f>
        <v>34.61538461538462</v>
      </c>
    </row>
    <row r="28" spans="1:5" x14ac:dyDescent="0.25">
      <c r="D28" s="11"/>
      <c r="E28" s="11"/>
    </row>
    <row r="29" spans="1:5" hidden="1" x14ac:dyDescent="0.25">
      <c r="D29" s="13" t="s">
        <v>16</v>
      </c>
      <c r="E29" s="8"/>
    </row>
    <row r="30" spans="1:5" hidden="1" x14ac:dyDescent="0.25">
      <c r="A30" t="s">
        <v>13</v>
      </c>
      <c r="D30" s="13" t="s">
        <v>14</v>
      </c>
      <c r="E30" s="8"/>
    </row>
    <row r="31" spans="1:5" hidden="1" x14ac:dyDescent="0.25">
      <c r="B31" s="2">
        <v>30</v>
      </c>
      <c r="D31" s="11">
        <f>D26*B31</f>
        <v>2531.25</v>
      </c>
      <c r="E31" s="11">
        <f>E26*B31</f>
        <v>1869.2307692307693</v>
      </c>
    </row>
    <row r="32" spans="1:5" hidden="1" x14ac:dyDescent="0.25">
      <c r="B32" s="2">
        <v>60</v>
      </c>
      <c r="D32" s="11">
        <f>B32*D26</f>
        <v>5062.5</v>
      </c>
      <c r="E32" s="11">
        <f>B32*E26</f>
        <v>3738.4615384615386</v>
      </c>
    </row>
    <row r="33" spans="1:5" hidden="1" x14ac:dyDescent="0.25">
      <c r="B33" s="2"/>
      <c r="D33" s="11"/>
      <c r="E33" s="12"/>
    </row>
    <row r="34" spans="1:5" hidden="1" x14ac:dyDescent="0.25">
      <c r="B34" s="2"/>
      <c r="D34" s="14" t="s">
        <v>15</v>
      </c>
      <c r="E34" s="15"/>
    </row>
    <row r="35" spans="1:5" hidden="1" x14ac:dyDescent="0.25">
      <c r="B35" s="2">
        <v>30</v>
      </c>
      <c r="D35" s="11">
        <f>B35*D27</f>
        <v>1406.25</v>
      </c>
      <c r="E35" s="11">
        <f>B35*E27</f>
        <v>1038.4615384615386</v>
      </c>
    </row>
    <row r="36" spans="1:5" hidden="1" x14ac:dyDescent="0.25">
      <c r="B36" s="2">
        <v>60</v>
      </c>
      <c r="D36" s="11">
        <f>B36*D27</f>
        <v>2812.5</v>
      </c>
      <c r="E36" s="11">
        <f>B36*E27</f>
        <v>2076.9230769230771</v>
      </c>
    </row>
    <row r="37" spans="1:5" ht="14.45" x14ac:dyDescent="0.3">
      <c r="B37" s="2"/>
    </row>
    <row r="38" spans="1:5" ht="14.45" x14ac:dyDescent="0.3">
      <c r="A38" t="s">
        <v>17</v>
      </c>
    </row>
    <row r="39" spans="1:5" ht="14.45" x14ac:dyDescent="0.3">
      <c r="B39" s="16">
        <v>10</v>
      </c>
      <c r="C39" t="s">
        <v>18</v>
      </c>
    </row>
    <row r="40" spans="1:5" ht="14.45" x14ac:dyDescent="0.3">
      <c r="B40" s="16">
        <v>4</v>
      </c>
      <c r="C40" t="s">
        <v>19</v>
      </c>
    </row>
    <row r="41" spans="1:5" ht="14.45" x14ac:dyDescent="0.3">
      <c r="B41" s="16">
        <f>B39*B40</f>
        <v>40</v>
      </c>
      <c r="C41" t="s">
        <v>20</v>
      </c>
    </row>
    <row r="42" spans="1:5" ht="14.45" x14ac:dyDescent="0.3">
      <c r="B42" s="16">
        <v>5</v>
      </c>
      <c r="C42" t="s">
        <v>21</v>
      </c>
    </row>
    <row r="43" spans="1:5" ht="14.45" x14ac:dyDescent="0.3">
      <c r="B43" s="16">
        <f>B41*B42</f>
        <v>200</v>
      </c>
      <c r="C43" t="s">
        <v>22</v>
      </c>
    </row>
    <row r="45" spans="1:5" x14ac:dyDescent="0.25">
      <c r="A45" t="s">
        <v>23</v>
      </c>
    </row>
    <row r="46" spans="1:5" x14ac:dyDescent="0.25">
      <c r="B46">
        <v>200</v>
      </c>
      <c r="C46" t="s">
        <v>24</v>
      </c>
    </row>
    <row r="47" spans="1:5" x14ac:dyDescent="0.25">
      <c r="B47" t="s">
        <v>4</v>
      </c>
      <c r="D47" s="11">
        <f>$B$46*D26</f>
        <v>16875</v>
      </c>
      <c r="E47" s="11">
        <f>$B$46*E26</f>
        <v>12461.538461538461</v>
      </c>
    </row>
    <row r="48" spans="1:5" x14ac:dyDescent="0.25">
      <c r="B48" t="s">
        <v>3</v>
      </c>
      <c r="D48" s="11">
        <f>$B$46*D27</f>
        <v>9375</v>
      </c>
      <c r="E48" s="11">
        <f>$B$46*E27</f>
        <v>6923.0769230769238</v>
      </c>
    </row>
    <row r="50" spans="1:5" x14ac:dyDescent="0.25">
      <c r="A50" s="23" t="s">
        <v>25</v>
      </c>
      <c r="B50" s="23"/>
      <c r="C50" s="23"/>
      <c r="D50" s="25"/>
      <c r="E50" s="23"/>
    </row>
    <row r="51" spans="1:5" x14ac:dyDescent="0.25">
      <c r="A51" s="23"/>
      <c r="B51" s="38">
        <v>52</v>
      </c>
      <c r="C51" s="23" t="s">
        <v>26</v>
      </c>
      <c r="D51" s="25"/>
      <c r="E51" s="23"/>
    </row>
    <row r="52" spans="1:5" x14ac:dyDescent="0.25">
      <c r="A52" s="23"/>
      <c r="B52" s="23" t="s">
        <v>4</v>
      </c>
      <c r="C52" s="23"/>
      <c r="D52" s="24">
        <f>$B$51*D47</f>
        <v>877500</v>
      </c>
      <c r="E52" s="24">
        <f>$B$51*E47</f>
        <v>648000</v>
      </c>
    </row>
    <row r="53" spans="1:5" x14ac:dyDescent="0.25">
      <c r="A53" s="23"/>
      <c r="B53" s="23" t="s">
        <v>3</v>
      </c>
      <c r="C53" s="23"/>
      <c r="D53" s="24">
        <f>$B$51*D48</f>
        <v>487500</v>
      </c>
      <c r="E53" s="24">
        <f>$B$51*E48</f>
        <v>360000.00000000006</v>
      </c>
    </row>
    <row r="54" spans="1:5" x14ac:dyDescent="0.25">
      <c r="A54" s="23"/>
      <c r="B54" s="23"/>
      <c r="C54" s="23"/>
      <c r="D54" s="25"/>
      <c r="E54" s="23"/>
    </row>
    <row r="55" spans="1:5" x14ac:dyDescent="0.25">
      <c r="A55" s="23" t="s">
        <v>28</v>
      </c>
      <c r="B55" s="23"/>
      <c r="C55" s="23"/>
      <c r="D55" s="25"/>
      <c r="E55" s="23"/>
    </row>
    <row r="56" spans="1:5" x14ac:dyDescent="0.25">
      <c r="A56" s="23"/>
      <c r="B56" s="39">
        <f>0.75</f>
        <v>0.75</v>
      </c>
      <c r="C56" s="23" t="s">
        <v>4</v>
      </c>
      <c r="D56" s="24">
        <f>$B$56*D52</f>
        <v>658125</v>
      </c>
      <c r="E56" s="24">
        <f>$B$56*E52</f>
        <v>486000</v>
      </c>
    </row>
    <row r="57" spans="1:5" x14ac:dyDescent="0.25">
      <c r="A57" s="23"/>
      <c r="B57" s="23"/>
      <c r="C57" s="23" t="s">
        <v>3</v>
      </c>
      <c r="D57" s="24">
        <f>$B$56*D53</f>
        <v>365625</v>
      </c>
      <c r="E57" s="24">
        <f>$B$56*E53</f>
        <v>270000.00000000006</v>
      </c>
    </row>
  </sheetData>
  <printOptions gridLines="1"/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tabSelected="1" topLeftCell="A7" workbookViewId="0">
      <selection activeCell="D44" sqref="D44"/>
    </sheetView>
  </sheetViews>
  <sheetFormatPr defaultRowHeight="15" x14ac:dyDescent="0.25"/>
  <cols>
    <col min="1" max="1" width="2.7109375" customWidth="1"/>
    <col min="2" max="2" width="2.42578125" customWidth="1"/>
    <col min="3" max="3" width="11.85546875" customWidth="1"/>
    <col min="4" max="4" width="33.28515625" customWidth="1"/>
    <col min="5" max="5" width="22.7109375" style="2" customWidth="1"/>
    <col min="6" max="6" width="16.28515625" style="2" hidden="1" customWidth="1"/>
    <col min="7" max="7" width="3.28515625" customWidth="1"/>
    <col min="8" max="8" width="25.7109375" hidden="1" customWidth="1"/>
    <col min="9" max="9" width="5" hidden="1" customWidth="1"/>
    <col min="10" max="10" width="11.85546875" hidden="1" customWidth="1"/>
    <col min="11" max="11" width="24" hidden="1" customWidth="1"/>
    <col min="12" max="12" width="8.140625" hidden="1" customWidth="1"/>
    <col min="13" max="13" width="15.85546875" hidden="1" customWidth="1"/>
    <col min="14" max="14" width="0" hidden="1" customWidth="1"/>
    <col min="15" max="15" width="23.140625" hidden="1" customWidth="1"/>
    <col min="16" max="16" width="22.5703125" hidden="1" customWidth="1"/>
    <col min="17" max="18" width="0" hidden="1" customWidth="1"/>
    <col min="19" max="19" width="13.28515625" customWidth="1"/>
    <col min="20" max="20" width="3" customWidth="1"/>
    <col min="21" max="21" width="11" customWidth="1"/>
    <col min="22" max="22" width="3.140625" hidden="1" customWidth="1"/>
    <col min="23" max="23" width="11.28515625" hidden="1" customWidth="1"/>
    <col min="24" max="24" width="2.42578125" customWidth="1"/>
    <col min="25" max="25" width="11.42578125" style="46" customWidth="1"/>
    <col min="26" max="26" width="2.28515625" style="46" customWidth="1"/>
    <col min="27" max="27" width="12.28515625" customWidth="1"/>
    <col min="28" max="28" width="2.5703125" customWidth="1"/>
    <col min="29" max="29" width="12" customWidth="1"/>
    <col min="30" max="30" width="2.7109375" customWidth="1"/>
    <col min="32" max="32" width="2.5703125" customWidth="1"/>
  </cols>
  <sheetData>
    <row r="1" spans="1:27" ht="14.45" x14ac:dyDescent="0.3">
      <c r="A1" s="1" t="s">
        <v>100</v>
      </c>
      <c r="H1" s="27" t="s">
        <v>35</v>
      </c>
      <c r="K1" s="27" t="s">
        <v>44</v>
      </c>
      <c r="M1" s="31" t="s">
        <v>39</v>
      </c>
      <c r="P1" s="30" t="s">
        <v>62</v>
      </c>
    </row>
    <row r="2" spans="1:27" ht="14.45" x14ac:dyDescent="0.3">
      <c r="A2" s="40"/>
      <c r="B2" s="40"/>
      <c r="C2" s="40"/>
      <c r="D2" s="40"/>
      <c r="E2" s="41"/>
      <c r="H2" s="27"/>
      <c r="K2" s="27"/>
      <c r="M2" s="31"/>
      <c r="P2" s="30"/>
    </row>
    <row r="3" spans="1:27" ht="14.45" x14ac:dyDescent="0.3">
      <c r="A3" s="65" t="s">
        <v>49</v>
      </c>
      <c r="B3" s="66"/>
      <c r="C3" s="66"/>
      <c r="D3" s="66"/>
      <c r="E3" s="67"/>
      <c r="H3" s="2"/>
      <c r="M3" s="2"/>
      <c r="P3" s="2"/>
    </row>
    <row r="4" spans="1:27" ht="14.45" x14ac:dyDescent="0.3">
      <c r="A4" s="68"/>
      <c r="B4" s="48"/>
      <c r="C4" s="48"/>
      <c r="D4" s="48"/>
      <c r="E4" s="69"/>
      <c r="H4" s="2"/>
      <c r="M4" s="2"/>
      <c r="P4" s="2"/>
    </row>
    <row r="5" spans="1:27" ht="14.45" x14ac:dyDescent="0.3">
      <c r="A5" s="68" t="s">
        <v>2</v>
      </c>
      <c r="B5" s="48"/>
      <c r="C5" s="48"/>
      <c r="D5" s="48"/>
      <c r="E5" s="70" t="s">
        <v>36</v>
      </c>
      <c r="F5" s="21" t="s">
        <v>7</v>
      </c>
      <c r="H5" s="21" t="s">
        <v>36</v>
      </c>
      <c r="K5" s="21" t="s">
        <v>36</v>
      </c>
      <c r="M5" s="21" t="s">
        <v>36</v>
      </c>
      <c r="P5" s="21" t="s">
        <v>36</v>
      </c>
    </row>
    <row r="6" spans="1:27" ht="14.45" hidden="1" x14ac:dyDescent="0.3">
      <c r="A6" s="68"/>
      <c r="B6" s="48" t="s">
        <v>4</v>
      </c>
      <c r="C6" s="48"/>
      <c r="D6" s="48"/>
      <c r="E6" s="71">
        <f>48000</f>
        <v>48000</v>
      </c>
      <c r="F6" s="5">
        <f>65000</f>
        <v>65000</v>
      </c>
      <c r="H6" s="5">
        <f>48000</f>
        <v>48000</v>
      </c>
      <c r="K6" s="5">
        <f>48000</f>
        <v>48000</v>
      </c>
      <c r="M6" s="5">
        <f>48000</f>
        <v>48000</v>
      </c>
      <c r="P6" s="5">
        <f>48000</f>
        <v>48000</v>
      </c>
    </row>
    <row r="7" spans="1:27" ht="14.45" x14ac:dyDescent="0.3">
      <c r="A7" s="68"/>
      <c r="B7" s="48" t="s">
        <v>37</v>
      </c>
      <c r="C7" s="48"/>
      <c r="D7" s="48"/>
      <c r="E7" s="71">
        <f>110000</f>
        <v>110000</v>
      </c>
      <c r="F7" s="5">
        <f>F6*2</f>
        <v>130000</v>
      </c>
      <c r="H7" s="5">
        <f>H6*2</f>
        <v>96000</v>
      </c>
      <c r="K7" s="5">
        <f>K6*2</f>
        <v>96000</v>
      </c>
      <c r="M7" s="5">
        <f>M6*2</f>
        <v>96000</v>
      </c>
      <c r="P7" s="5">
        <f>P6*2</f>
        <v>96000</v>
      </c>
    </row>
    <row r="8" spans="1:27" ht="14.45" x14ac:dyDescent="0.3">
      <c r="A8" s="68"/>
      <c r="B8" s="48"/>
      <c r="C8" s="48"/>
      <c r="D8" s="48"/>
      <c r="E8" s="71"/>
      <c r="F8" s="5"/>
      <c r="H8" s="5"/>
      <c r="K8" s="5"/>
      <c r="M8" s="5"/>
      <c r="P8" s="5"/>
    </row>
    <row r="9" spans="1:27" ht="14.45" x14ac:dyDescent="0.3">
      <c r="A9" s="68" t="s">
        <v>10</v>
      </c>
      <c r="B9" s="48"/>
      <c r="C9" s="48"/>
      <c r="D9" s="48"/>
      <c r="E9" s="71"/>
      <c r="F9" s="5"/>
      <c r="H9" s="5"/>
      <c r="K9" s="5"/>
      <c r="M9" s="5"/>
      <c r="P9" s="5"/>
    </row>
    <row r="10" spans="1:27" ht="14.45" x14ac:dyDescent="0.3">
      <c r="A10" s="68" t="s">
        <v>11</v>
      </c>
      <c r="B10" s="48"/>
      <c r="C10" s="48"/>
      <c r="D10" s="48"/>
      <c r="E10" s="72">
        <f>3000</f>
        <v>3000</v>
      </c>
      <c r="F10" s="5"/>
      <c r="H10" s="22">
        <f>2500</f>
        <v>2500</v>
      </c>
      <c r="K10" s="22">
        <f>2500</f>
        <v>2500</v>
      </c>
      <c r="M10" s="5"/>
      <c r="P10" s="22">
        <f>2500</f>
        <v>2500</v>
      </c>
    </row>
    <row r="11" spans="1:27" ht="14.45" x14ac:dyDescent="0.3">
      <c r="A11" s="68"/>
      <c r="B11" s="48"/>
      <c r="C11" s="48"/>
      <c r="D11" s="48"/>
      <c r="E11" s="73"/>
      <c r="F11" s="5"/>
      <c r="H11" s="11"/>
      <c r="K11" s="11"/>
      <c r="M11" s="5"/>
      <c r="P11" s="11"/>
    </row>
    <row r="12" spans="1:27" ht="14.45" x14ac:dyDescent="0.3">
      <c r="A12" s="68" t="s">
        <v>5</v>
      </c>
      <c r="B12" s="48"/>
      <c r="C12" s="48"/>
      <c r="D12" s="48"/>
      <c r="E12" s="73">
        <f>E10*0.1</f>
        <v>300</v>
      </c>
      <c r="F12" s="5"/>
      <c r="H12" s="11">
        <f>H10*0.1</f>
        <v>250</v>
      </c>
      <c r="K12" s="11">
        <f>K10*0.1</f>
        <v>250</v>
      </c>
      <c r="M12" s="5"/>
      <c r="P12" s="11">
        <f>P10*0.1</f>
        <v>250</v>
      </c>
    </row>
    <row r="13" spans="1:27" ht="14.45" x14ac:dyDescent="0.3">
      <c r="A13" s="68"/>
      <c r="B13" s="48"/>
      <c r="C13" s="48"/>
      <c r="D13" s="48"/>
      <c r="E13" s="73"/>
      <c r="F13" s="5"/>
      <c r="H13" s="11"/>
      <c r="K13" s="11"/>
      <c r="M13" s="5"/>
      <c r="P13" s="11"/>
    </row>
    <row r="14" spans="1:27" ht="14.45" x14ac:dyDescent="0.3">
      <c r="A14" s="74" t="s">
        <v>255</v>
      </c>
      <c r="B14" s="51"/>
      <c r="C14" s="51"/>
      <c r="D14" s="51"/>
      <c r="E14" s="75">
        <f>E12</f>
        <v>300</v>
      </c>
      <c r="F14" s="5"/>
      <c r="H14" s="11"/>
      <c r="K14" s="11"/>
      <c r="M14" s="5"/>
      <c r="P14" s="11"/>
    </row>
    <row r="15" spans="1:27" ht="14.45" x14ac:dyDescent="0.3">
      <c r="E15" s="11"/>
      <c r="F15" s="5"/>
      <c r="H15" s="11"/>
      <c r="K15" s="11"/>
      <c r="M15" s="5"/>
      <c r="P15" s="11"/>
    </row>
    <row r="16" spans="1:27" ht="14.45" x14ac:dyDescent="0.3">
      <c r="E16" s="11"/>
      <c r="F16" s="5"/>
      <c r="H16" s="11"/>
      <c r="K16" s="11"/>
      <c r="M16" s="5"/>
      <c r="P16" s="11"/>
      <c r="U16" s="55" t="s">
        <v>34</v>
      </c>
      <c r="AA16" s="55" t="s">
        <v>258</v>
      </c>
    </row>
    <row r="17" spans="1:33" ht="14.45" x14ac:dyDescent="0.3">
      <c r="A17" s="49" t="s">
        <v>101</v>
      </c>
      <c r="B17" s="49"/>
      <c r="C17" s="49"/>
      <c r="D17" s="49"/>
      <c r="E17" s="76" t="s">
        <v>99</v>
      </c>
      <c r="F17" s="42"/>
      <c r="G17" s="48"/>
      <c r="H17" s="42"/>
      <c r="I17" s="48"/>
      <c r="J17" s="48"/>
      <c r="K17" s="42"/>
      <c r="L17" s="48"/>
      <c r="M17" s="42"/>
      <c r="N17" s="48"/>
      <c r="O17" s="48"/>
      <c r="P17" s="42"/>
      <c r="Q17" s="48"/>
      <c r="R17" s="48"/>
      <c r="S17" s="31" t="s">
        <v>96</v>
      </c>
      <c r="T17" s="31"/>
      <c r="U17" s="31" t="s">
        <v>39</v>
      </c>
      <c r="V17" s="31"/>
      <c r="W17" s="31" t="s">
        <v>89</v>
      </c>
      <c r="X17" s="31"/>
      <c r="Y17" s="31" t="s">
        <v>256</v>
      </c>
      <c r="Z17" s="31"/>
      <c r="AA17" s="31" t="s">
        <v>92</v>
      </c>
      <c r="AB17" s="31"/>
      <c r="AC17" s="31" t="s">
        <v>96</v>
      </c>
      <c r="AD17" s="31"/>
      <c r="AE17" s="31" t="s">
        <v>97</v>
      </c>
      <c r="AF17" s="31"/>
      <c r="AG17" s="31" t="s">
        <v>96</v>
      </c>
    </row>
    <row r="18" spans="1:33" s="29" customFormat="1" ht="14.45" x14ac:dyDescent="0.3">
      <c r="A18" s="48"/>
      <c r="B18" s="48"/>
      <c r="C18" s="48"/>
      <c r="D18" s="48"/>
      <c r="E18" s="43" t="s">
        <v>87</v>
      </c>
      <c r="F18" s="42"/>
      <c r="G18" s="48"/>
      <c r="H18" s="42"/>
      <c r="I18" s="48"/>
      <c r="J18" s="48"/>
      <c r="K18" s="42"/>
      <c r="L18" s="48"/>
      <c r="M18" s="42"/>
      <c r="N18" s="48"/>
      <c r="O18" s="48"/>
      <c r="P18" s="42"/>
      <c r="Q18" s="48"/>
      <c r="R18" s="48"/>
      <c r="S18" s="43">
        <f>E7</f>
        <v>110000</v>
      </c>
      <c r="T18" s="31"/>
      <c r="U18" s="21" t="s">
        <v>88</v>
      </c>
      <c r="V18" s="31"/>
      <c r="W18" s="21" t="s">
        <v>254</v>
      </c>
      <c r="X18" s="31"/>
      <c r="Y18" s="21" t="s">
        <v>257</v>
      </c>
      <c r="Z18" s="21"/>
      <c r="AA18" s="21" t="s">
        <v>93</v>
      </c>
      <c r="AB18" s="31"/>
      <c r="AC18" s="21" t="s">
        <v>253</v>
      </c>
      <c r="AD18" s="31"/>
      <c r="AE18" s="21" t="s">
        <v>98</v>
      </c>
      <c r="AF18" s="31"/>
      <c r="AG18" s="21" t="s">
        <v>95</v>
      </c>
    </row>
    <row r="19" spans="1:33" s="29" customFormat="1" ht="14.45" x14ac:dyDescent="0.3">
      <c r="A19" s="48"/>
      <c r="B19" s="48" t="s">
        <v>80</v>
      </c>
      <c r="C19" s="48"/>
      <c r="D19" s="48"/>
      <c r="E19" s="42">
        <v>14400</v>
      </c>
      <c r="F19" s="42"/>
      <c r="G19" s="48"/>
      <c r="H19" s="42"/>
      <c r="I19" s="48"/>
      <c r="J19" s="48"/>
      <c r="K19" s="42"/>
      <c r="L19" s="48"/>
      <c r="M19" s="42"/>
      <c r="N19" s="48"/>
      <c r="O19" s="48"/>
      <c r="P19" s="42"/>
      <c r="Q19" s="48"/>
      <c r="R19" s="48"/>
      <c r="S19" s="44">
        <f>E19/$E$7</f>
        <v>0.13090909090909092</v>
      </c>
      <c r="T19" s="48"/>
      <c r="U19" s="45">
        <f>S19*$E$12</f>
        <v>39.272727272727273</v>
      </c>
      <c r="V19" s="48"/>
      <c r="W19" s="56">
        <f>100</f>
        <v>100</v>
      </c>
      <c r="X19" s="48"/>
      <c r="Y19" s="56">
        <f>W19*2</f>
        <v>200</v>
      </c>
      <c r="Z19" s="56"/>
      <c r="AA19" s="45">
        <f>Y19*U19</f>
        <v>7854.545454545455</v>
      </c>
      <c r="AB19" s="48"/>
      <c r="AC19" s="44">
        <f>AA19/$AA$31</f>
        <v>0.17674133169683948</v>
      </c>
      <c r="AD19" s="48"/>
      <c r="AE19" s="45">
        <f>AA19</f>
        <v>7854.545454545455</v>
      </c>
      <c r="AF19" s="48"/>
      <c r="AG19" s="44">
        <f>AE19/$AE$31</f>
        <v>0.25309781175850249</v>
      </c>
    </row>
    <row r="20" spans="1:33" ht="14.45" x14ac:dyDescent="0.3">
      <c r="A20" s="48"/>
      <c r="B20" s="48" t="s">
        <v>90</v>
      </c>
      <c r="C20" s="48"/>
      <c r="D20" s="48"/>
      <c r="E20" s="42">
        <v>2100</v>
      </c>
      <c r="F20" s="42"/>
      <c r="G20" s="48"/>
      <c r="H20" s="42"/>
      <c r="I20" s="48"/>
      <c r="J20" s="48"/>
      <c r="K20" s="42"/>
      <c r="L20" s="48"/>
      <c r="M20" s="42"/>
      <c r="N20" s="48"/>
      <c r="O20" s="48"/>
      <c r="P20" s="42"/>
      <c r="Q20" s="48"/>
      <c r="R20" s="48"/>
      <c r="S20" s="44">
        <f t="shared" ref="S20:S30" si="0">E20/$E$7</f>
        <v>1.9090909090909092E-2</v>
      </c>
      <c r="T20" s="48"/>
      <c r="U20" s="45">
        <f t="shared" ref="U20:U30" si="1">S20*$E$12</f>
        <v>5.7272727272727275</v>
      </c>
      <c r="V20" s="48"/>
      <c r="W20" s="56">
        <f>50</f>
        <v>50</v>
      </c>
      <c r="X20" s="48"/>
      <c r="Y20" s="56">
        <f t="shared" ref="Y20:Y30" si="2">W20*2</f>
        <v>100</v>
      </c>
      <c r="Z20" s="56"/>
      <c r="AA20" s="45">
        <f t="shared" ref="AA20:AA30" si="3">Y20*U20</f>
        <v>572.72727272727275</v>
      </c>
      <c r="AB20" s="48"/>
      <c r="AC20" s="44">
        <f>AA20/$AA$31</f>
        <v>1.2887388769561211E-2</v>
      </c>
      <c r="AD20" s="48"/>
      <c r="AE20" s="45">
        <f t="shared" ref="AE20:AE24" si="4">AA20</f>
        <v>572.72727272727275</v>
      </c>
      <c r="AF20" s="48"/>
      <c r="AG20" s="44">
        <f>AE20/$AE$31</f>
        <v>1.8455048774057473E-2</v>
      </c>
    </row>
    <row r="21" spans="1:33" ht="14.45" x14ac:dyDescent="0.3">
      <c r="A21" s="48"/>
      <c r="B21" s="48" t="s">
        <v>81</v>
      </c>
      <c r="C21" s="48"/>
      <c r="D21" s="48"/>
      <c r="E21" s="42">
        <v>5000</v>
      </c>
      <c r="F21" s="42"/>
      <c r="G21" s="48"/>
      <c r="H21" s="42"/>
      <c r="I21" s="48"/>
      <c r="J21" s="48"/>
      <c r="K21" s="42"/>
      <c r="L21" s="48"/>
      <c r="M21" s="42"/>
      <c r="N21" s="48"/>
      <c r="O21" s="48"/>
      <c r="P21" s="42"/>
      <c r="Q21" s="48"/>
      <c r="R21" s="48"/>
      <c r="S21" s="44">
        <f t="shared" si="0"/>
        <v>4.5454545454545456E-2</v>
      </c>
      <c r="T21" s="48"/>
      <c r="U21" s="45">
        <f t="shared" si="1"/>
        <v>13.636363636363637</v>
      </c>
      <c r="V21" s="48"/>
      <c r="W21" s="56">
        <f>50</f>
        <v>50</v>
      </c>
      <c r="X21" s="48"/>
      <c r="Y21" s="56">
        <f t="shared" si="2"/>
        <v>100</v>
      </c>
      <c r="Z21" s="56"/>
      <c r="AA21" s="45">
        <f t="shared" si="3"/>
        <v>1363.6363636363637</v>
      </c>
      <c r="AB21" s="48"/>
      <c r="AC21" s="44">
        <f>AA21/$AA$31</f>
        <v>3.0684258975145744E-2</v>
      </c>
      <c r="AD21" s="48"/>
      <c r="AE21" s="45">
        <f t="shared" si="4"/>
        <v>1363.6363636363637</v>
      </c>
      <c r="AF21" s="48"/>
      <c r="AG21" s="44">
        <f>AE21/$AE$31</f>
        <v>4.3940592319184457E-2</v>
      </c>
    </row>
    <row r="22" spans="1:33" ht="14.45" hidden="1" x14ac:dyDescent="0.3">
      <c r="A22" s="48"/>
      <c r="B22" s="48" t="s">
        <v>82</v>
      </c>
      <c r="C22" s="48"/>
      <c r="D22" s="48"/>
      <c r="E22" s="42">
        <v>4300</v>
      </c>
      <c r="F22" s="77"/>
      <c r="G22" s="48"/>
      <c r="H22" s="77"/>
      <c r="I22" s="48"/>
      <c r="J22" s="48"/>
      <c r="K22" s="77"/>
      <c r="L22" s="48"/>
      <c r="M22" s="77"/>
      <c r="N22" s="48"/>
      <c r="O22" s="48"/>
      <c r="P22" s="77"/>
      <c r="Q22" s="48"/>
      <c r="R22" s="48"/>
      <c r="S22" s="44">
        <f t="shared" si="0"/>
        <v>3.9090909090909093E-2</v>
      </c>
      <c r="T22" s="48"/>
      <c r="U22" s="45">
        <f t="shared" si="1"/>
        <v>11.727272727272728</v>
      </c>
      <c r="V22" s="48"/>
      <c r="W22" s="56"/>
      <c r="X22" s="48"/>
      <c r="Y22" s="56">
        <f t="shared" si="2"/>
        <v>0</v>
      </c>
      <c r="Z22" s="56"/>
      <c r="AA22" s="45">
        <f t="shared" si="3"/>
        <v>0</v>
      </c>
      <c r="AB22" s="48"/>
      <c r="AC22" s="44">
        <f t="shared" ref="AC22:AC23" si="5">AA22/$AA$31</f>
        <v>0</v>
      </c>
      <c r="AD22" s="48"/>
      <c r="AE22" s="45">
        <f t="shared" si="4"/>
        <v>0</v>
      </c>
      <c r="AF22" s="48"/>
      <c r="AG22" s="44">
        <f t="shared" ref="AG22:AG23" si="6">AE22/$AE$31</f>
        <v>0</v>
      </c>
    </row>
    <row r="23" spans="1:33" s="46" customFormat="1" ht="14.45" x14ac:dyDescent="0.3">
      <c r="A23" s="48"/>
      <c r="B23" s="40" t="s">
        <v>82</v>
      </c>
      <c r="C23" s="48"/>
      <c r="D23" s="48"/>
      <c r="E23" s="42">
        <v>4300</v>
      </c>
      <c r="F23" s="77"/>
      <c r="G23" s="48"/>
      <c r="H23" s="77"/>
      <c r="I23" s="48"/>
      <c r="J23" s="48"/>
      <c r="K23" s="77"/>
      <c r="L23" s="48"/>
      <c r="M23" s="77"/>
      <c r="N23" s="48"/>
      <c r="O23" s="48"/>
      <c r="P23" s="77"/>
      <c r="Q23" s="48"/>
      <c r="R23" s="48"/>
      <c r="S23" s="44">
        <f t="shared" si="0"/>
        <v>3.9090909090909093E-2</v>
      </c>
      <c r="T23" s="48"/>
      <c r="U23" s="45">
        <f t="shared" si="1"/>
        <v>11.727272727272728</v>
      </c>
      <c r="V23" s="48"/>
      <c r="W23" s="56"/>
      <c r="X23" s="48"/>
      <c r="Y23" s="56">
        <f>100</f>
        <v>100</v>
      </c>
      <c r="Z23" s="56"/>
      <c r="AA23" s="45">
        <f t="shared" si="3"/>
        <v>1172.7272727272727</v>
      </c>
      <c r="AB23" s="48"/>
      <c r="AC23" s="44">
        <f t="shared" si="5"/>
        <v>2.6388462718625338E-2</v>
      </c>
      <c r="AD23" s="48"/>
      <c r="AE23" s="45">
        <f t="shared" si="4"/>
        <v>1172.7272727272727</v>
      </c>
      <c r="AF23" s="48"/>
      <c r="AG23" s="44">
        <f t="shared" si="6"/>
        <v>3.7788909394498631E-2</v>
      </c>
    </row>
    <row r="24" spans="1:33" ht="14.45" x14ac:dyDescent="0.3">
      <c r="A24" s="48"/>
      <c r="B24" s="48" t="s">
        <v>91</v>
      </c>
      <c r="C24" s="48"/>
      <c r="D24" s="48"/>
      <c r="E24" s="42">
        <v>15300</v>
      </c>
      <c r="F24" s="77"/>
      <c r="G24" s="48"/>
      <c r="H24" s="77"/>
      <c r="I24" s="48"/>
      <c r="J24" s="48"/>
      <c r="K24" s="77"/>
      <c r="L24" s="48"/>
      <c r="M24" s="77"/>
      <c r="N24" s="48"/>
      <c r="O24" s="48"/>
      <c r="P24" s="77"/>
      <c r="Q24" s="48"/>
      <c r="R24" s="48"/>
      <c r="S24" s="44">
        <f t="shared" si="0"/>
        <v>0.1390909090909091</v>
      </c>
      <c r="T24" s="48"/>
      <c r="U24" s="45">
        <f t="shared" si="1"/>
        <v>41.727272727272727</v>
      </c>
      <c r="V24" s="48"/>
      <c r="W24" s="56">
        <f>100</f>
        <v>100</v>
      </c>
      <c r="X24" s="48"/>
      <c r="Y24" s="56">
        <f t="shared" si="2"/>
        <v>200</v>
      </c>
      <c r="Z24" s="56"/>
      <c r="AA24" s="45">
        <f t="shared" si="3"/>
        <v>8345.454545454546</v>
      </c>
      <c r="AB24" s="48"/>
      <c r="AC24" s="44">
        <f t="shared" ref="AC24:AC31" si="7">AA24/$AA$31</f>
        <v>0.18778766492789195</v>
      </c>
      <c r="AD24" s="48"/>
      <c r="AE24" s="45">
        <f t="shared" si="4"/>
        <v>8345.454545454546</v>
      </c>
      <c r="AF24" s="48"/>
      <c r="AG24" s="44">
        <f t="shared" ref="AG24:AG31" si="8">AE24/$AE$31</f>
        <v>0.2689164249934089</v>
      </c>
    </row>
    <row r="25" spans="1:33" ht="14.45" x14ac:dyDescent="0.3">
      <c r="A25" s="48"/>
      <c r="B25" s="78" t="s">
        <v>83</v>
      </c>
      <c r="C25" s="48"/>
      <c r="D25" s="48"/>
      <c r="E25" s="42">
        <v>7100</v>
      </c>
      <c r="F25" s="42"/>
      <c r="G25" s="48"/>
      <c r="H25" s="42"/>
      <c r="I25" s="48"/>
      <c r="J25" s="48"/>
      <c r="K25" s="42"/>
      <c r="L25" s="48"/>
      <c r="M25" s="42"/>
      <c r="N25" s="48"/>
      <c r="O25" s="48"/>
      <c r="P25" s="42"/>
      <c r="Q25" s="48"/>
      <c r="R25" s="48"/>
      <c r="S25" s="44">
        <f t="shared" si="0"/>
        <v>6.4545454545454545E-2</v>
      </c>
      <c r="T25" s="48"/>
      <c r="U25" s="45">
        <f t="shared" si="1"/>
        <v>19.363636363636363</v>
      </c>
      <c r="V25" s="48"/>
      <c r="W25" s="56">
        <f>50</f>
        <v>50</v>
      </c>
      <c r="X25" s="48"/>
      <c r="Y25" s="56">
        <f t="shared" si="2"/>
        <v>100</v>
      </c>
      <c r="Z25" s="56"/>
      <c r="AA25" s="45">
        <f t="shared" si="3"/>
        <v>1936.3636363636363</v>
      </c>
      <c r="AB25" s="48"/>
      <c r="AC25" s="44">
        <f t="shared" si="7"/>
        <v>4.3571647744706954E-2</v>
      </c>
      <c r="AD25" s="48"/>
      <c r="AE25" s="45">
        <v>0</v>
      </c>
      <c r="AF25" s="48"/>
      <c r="AG25" s="44">
        <f t="shared" si="8"/>
        <v>0</v>
      </c>
    </row>
    <row r="26" spans="1:33" ht="14.45" x14ac:dyDescent="0.3">
      <c r="A26" s="48"/>
      <c r="B26" s="48" t="s">
        <v>267</v>
      </c>
      <c r="C26" s="48"/>
      <c r="D26" s="48"/>
      <c r="E26" s="42">
        <v>4200</v>
      </c>
      <c r="F26" s="42"/>
      <c r="G26" s="48"/>
      <c r="H26" s="42"/>
      <c r="I26" s="48"/>
      <c r="J26" s="48"/>
      <c r="K26" s="42"/>
      <c r="L26" s="48"/>
      <c r="M26" s="42"/>
      <c r="N26" s="48"/>
      <c r="O26" s="48"/>
      <c r="P26" s="42"/>
      <c r="Q26" s="48"/>
      <c r="R26" s="48"/>
      <c r="S26" s="44">
        <f t="shared" si="0"/>
        <v>3.8181818181818185E-2</v>
      </c>
      <c r="T26" s="48"/>
      <c r="U26" s="45">
        <f t="shared" si="1"/>
        <v>11.454545454545455</v>
      </c>
      <c r="V26" s="48"/>
      <c r="W26" s="56">
        <f>75</f>
        <v>75</v>
      </c>
      <c r="X26" s="48"/>
      <c r="Y26" s="56">
        <f t="shared" si="2"/>
        <v>150</v>
      </c>
      <c r="Z26" s="56"/>
      <c r="AA26" s="45">
        <f t="shared" si="3"/>
        <v>1718.1818181818182</v>
      </c>
      <c r="AB26" s="48"/>
      <c r="AC26" s="44">
        <f t="shared" si="7"/>
        <v>3.8662166308683639E-2</v>
      </c>
      <c r="AD26" s="48"/>
      <c r="AE26" s="45">
        <v>0</v>
      </c>
      <c r="AF26" s="48"/>
      <c r="AG26" s="44">
        <f t="shared" si="8"/>
        <v>0</v>
      </c>
    </row>
    <row r="27" spans="1:33" ht="14.45" hidden="1" x14ac:dyDescent="0.3">
      <c r="A27" s="48"/>
      <c r="B27" s="48" t="s">
        <v>84</v>
      </c>
      <c r="C27" s="48"/>
      <c r="D27" s="48"/>
      <c r="E27" s="42">
        <v>2800</v>
      </c>
      <c r="F27" s="45"/>
      <c r="G27" s="48"/>
      <c r="H27" s="45"/>
      <c r="I27" s="48"/>
      <c r="J27" s="48"/>
      <c r="K27" s="45"/>
      <c r="L27" s="48"/>
      <c r="M27" s="45"/>
      <c r="N27" s="48"/>
      <c r="O27" s="48"/>
      <c r="P27" s="45"/>
      <c r="Q27" s="48"/>
      <c r="R27" s="48"/>
      <c r="S27" s="44">
        <f t="shared" si="0"/>
        <v>2.5454545454545455E-2</v>
      </c>
      <c r="T27" s="48"/>
      <c r="U27" s="45">
        <f t="shared" si="1"/>
        <v>7.6363636363636367</v>
      </c>
      <c r="V27" s="48"/>
      <c r="W27" s="56"/>
      <c r="X27" s="48"/>
      <c r="Y27" s="56">
        <f t="shared" si="2"/>
        <v>0</v>
      </c>
      <c r="Z27" s="56"/>
      <c r="AA27" s="45">
        <f t="shared" si="3"/>
        <v>0</v>
      </c>
      <c r="AB27" s="48"/>
      <c r="AC27" s="44">
        <f t="shared" si="7"/>
        <v>0</v>
      </c>
      <c r="AD27" s="48"/>
      <c r="AE27" s="45">
        <f t="shared" ref="AE27" si="9">AC27*AA27</f>
        <v>0</v>
      </c>
      <c r="AF27" s="48"/>
      <c r="AG27" s="44">
        <f t="shared" si="8"/>
        <v>0</v>
      </c>
    </row>
    <row r="28" spans="1:33" ht="14.45" x14ac:dyDescent="0.3">
      <c r="A28" s="48"/>
      <c r="B28" s="48" t="s">
        <v>85</v>
      </c>
      <c r="C28" s="48"/>
      <c r="D28" s="48"/>
      <c r="E28" s="42">
        <v>29900</v>
      </c>
      <c r="F28" s="45"/>
      <c r="G28" s="48"/>
      <c r="H28" s="45"/>
      <c r="I28" s="48"/>
      <c r="J28" s="48"/>
      <c r="K28" s="45"/>
      <c r="L28" s="48"/>
      <c r="M28" s="45"/>
      <c r="N28" s="48"/>
      <c r="O28" s="48"/>
      <c r="P28" s="45"/>
      <c r="Q28" s="48"/>
      <c r="R28" s="48"/>
      <c r="S28" s="44">
        <f t="shared" si="0"/>
        <v>0.27181818181818179</v>
      </c>
      <c r="T28" s="48"/>
      <c r="U28" s="45">
        <f t="shared" si="1"/>
        <v>81.545454545454533</v>
      </c>
      <c r="V28" s="48"/>
      <c r="W28" s="56">
        <f>15</f>
        <v>15</v>
      </c>
      <c r="X28" s="48"/>
      <c r="Y28" s="56">
        <f t="shared" si="2"/>
        <v>30</v>
      </c>
      <c r="Z28" s="56"/>
      <c r="AA28" s="45">
        <f t="shared" si="3"/>
        <v>2446.363636363636</v>
      </c>
      <c r="AB28" s="48"/>
      <c r="AC28" s="44">
        <f t="shared" si="7"/>
        <v>5.5047560601411451E-2</v>
      </c>
      <c r="AD28" s="48"/>
      <c r="AE28" s="45">
        <f>AA28</f>
        <v>2446.363636363636</v>
      </c>
      <c r="AF28" s="48"/>
      <c r="AG28" s="44">
        <f t="shared" si="8"/>
        <v>7.8829422620616901E-2</v>
      </c>
    </row>
    <row r="29" spans="1:33" s="46" customFormat="1" ht="14.45" x14ac:dyDescent="0.3">
      <c r="A29" s="48"/>
      <c r="B29" s="40" t="s">
        <v>265</v>
      </c>
      <c r="C29" s="48"/>
      <c r="D29" s="48"/>
      <c r="E29" s="42">
        <v>29800</v>
      </c>
      <c r="F29" s="45"/>
      <c r="G29" s="48"/>
      <c r="H29" s="45"/>
      <c r="I29" s="48"/>
      <c r="J29" s="48"/>
      <c r="K29" s="45"/>
      <c r="L29" s="48"/>
      <c r="M29" s="45"/>
      <c r="N29" s="48"/>
      <c r="O29" s="48"/>
      <c r="P29" s="45"/>
      <c r="Q29" s="48"/>
      <c r="R29" s="48"/>
      <c r="S29" s="44">
        <f t="shared" si="0"/>
        <v>0.27090909090909093</v>
      </c>
      <c r="T29" s="48"/>
      <c r="U29" s="45">
        <f t="shared" si="1"/>
        <v>81.27272727272728</v>
      </c>
      <c r="V29" s="48"/>
      <c r="W29" s="56">
        <f>5*12</f>
        <v>60</v>
      </c>
      <c r="X29" s="48"/>
      <c r="Y29" s="56">
        <f t="shared" si="2"/>
        <v>120</v>
      </c>
      <c r="Z29" s="56"/>
      <c r="AA29" s="45">
        <f t="shared" si="3"/>
        <v>9752.7272727272739</v>
      </c>
      <c r="AB29" s="48"/>
      <c r="AC29" s="44">
        <f t="shared" si="7"/>
        <v>0.21945382019024237</v>
      </c>
      <c r="AD29" s="48"/>
      <c r="AE29" s="45">
        <v>0</v>
      </c>
      <c r="AF29" s="48"/>
      <c r="AG29" s="44">
        <f t="shared" si="8"/>
        <v>0</v>
      </c>
    </row>
    <row r="30" spans="1:33" ht="14.45" x14ac:dyDescent="0.3">
      <c r="A30" s="48"/>
      <c r="B30" s="48" t="s">
        <v>86</v>
      </c>
      <c r="C30" s="48"/>
      <c r="D30" s="48"/>
      <c r="E30" s="54">
        <v>113400</v>
      </c>
      <c r="F30" s="45"/>
      <c r="G30" s="48"/>
      <c r="H30" s="45"/>
      <c r="I30" s="48"/>
      <c r="J30" s="48"/>
      <c r="K30" s="45"/>
      <c r="L30" s="48"/>
      <c r="M30" s="45"/>
      <c r="N30" s="48"/>
      <c r="O30" s="48"/>
      <c r="P30" s="45"/>
      <c r="Q30" s="48"/>
      <c r="R30" s="48"/>
      <c r="S30" s="44">
        <f t="shared" si="0"/>
        <v>1.030909090909091</v>
      </c>
      <c r="T30" s="48"/>
      <c r="U30" s="45">
        <f t="shared" si="1"/>
        <v>309.27272727272731</v>
      </c>
      <c r="V30" s="48"/>
      <c r="W30" s="53">
        <f>15</f>
        <v>15</v>
      </c>
      <c r="X30" s="48"/>
      <c r="Y30" s="53">
        <f t="shared" si="2"/>
        <v>30</v>
      </c>
      <c r="Z30" s="56"/>
      <c r="AA30" s="58">
        <f t="shared" si="3"/>
        <v>9278.1818181818198</v>
      </c>
      <c r="AB30" s="48"/>
      <c r="AC30" s="59">
        <f t="shared" si="7"/>
        <v>0.20877569806689167</v>
      </c>
      <c r="AD30" s="48"/>
      <c r="AE30" s="58">
        <f>AA30</f>
        <v>9278.1818181818198</v>
      </c>
      <c r="AF30" s="48"/>
      <c r="AG30" s="59">
        <f t="shared" si="8"/>
        <v>0.29897179013973108</v>
      </c>
    </row>
    <row r="31" spans="1:33" s="47" customFormat="1" ht="14.45" x14ac:dyDescent="0.3">
      <c r="A31" s="49" t="s">
        <v>94</v>
      </c>
      <c r="B31" s="49"/>
      <c r="C31" s="49"/>
      <c r="D31" s="49"/>
      <c r="E31" s="76">
        <f>SUM(E19:E30)</f>
        <v>232600</v>
      </c>
      <c r="F31" s="31"/>
      <c r="G31" s="49"/>
      <c r="H31" s="31"/>
      <c r="I31" s="49"/>
      <c r="J31" s="50"/>
      <c r="K31" s="31"/>
      <c r="L31" s="49"/>
      <c r="M31" s="31"/>
      <c r="N31" s="49"/>
      <c r="O31" s="49"/>
      <c r="P31" s="31"/>
      <c r="Q31" s="49"/>
      <c r="R31" s="49"/>
      <c r="S31" s="49"/>
      <c r="T31" s="49"/>
      <c r="U31" s="49"/>
      <c r="V31" s="49"/>
      <c r="W31" s="76">
        <f>SUM(W19:W30)</f>
        <v>515</v>
      </c>
      <c r="X31" s="49"/>
      <c r="Y31" s="76">
        <f>SUM(Y19:Y30)</f>
        <v>1130</v>
      </c>
      <c r="Z31" s="76"/>
      <c r="AA31" s="37">
        <f>SUM(AA19:AA30)</f>
        <v>44440.909090909103</v>
      </c>
      <c r="AB31" s="49"/>
      <c r="AC31" s="44">
        <f t="shared" si="7"/>
        <v>1</v>
      </c>
      <c r="AD31" s="49"/>
      <c r="AE31" s="37">
        <f>SUM(AE19:AE30)</f>
        <v>31033.636363636368</v>
      </c>
      <c r="AF31" s="49"/>
      <c r="AG31" s="44">
        <f t="shared" si="8"/>
        <v>1</v>
      </c>
    </row>
    <row r="32" spans="1:33" ht="14.45" x14ac:dyDescent="0.3">
      <c r="A32" s="48"/>
      <c r="B32" s="48"/>
      <c r="C32" s="48"/>
      <c r="D32" s="48"/>
      <c r="E32" s="45"/>
      <c r="F32" s="45"/>
      <c r="G32" s="48"/>
      <c r="H32" s="45"/>
      <c r="I32" s="48"/>
      <c r="J32" s="48"/>
      <c r="K32" s="45"/>
      <c r="L32" s="48"/>
      <c r="M32" s="45"/>
      <c r="N32" s="48"/>
      <c r="O32" s="48"/>
      <c r="P32" s="45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1:33" ht="14.45" x14ac:dyDescent="0.3">
      <c r="A33" s="49" t="s">
        <v>102</v>
      </c>
      <c r="B33" s="49"/>
      <c r="C33" s="49"/>
      <c r="D33" s="31"/>
      <c r="E33" s="124">
        <f>(AC30+AG30)/2</f>
        <v>0.25387374410331137</v>
      </c>
      <c r="F33" s="45"/>
      <c r="G33" s="48"/>
      <c r="H33" s="45"/>
      <c r="I33" s="48"/>
      <c r="J33" s="56"/>
      <c r="K33" s="45"/>
      <c r="L33" s="48"/>
      <c r="M33" s="45"/>
      <c r="N33" s="48"/>
      <c r="O33" s="48"/>
      <c r="P33" s="45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112"/>
      <c r="AB33" s="48"/>
      <c r="AC33" s="48"/>
      <c r="AD33" s="48"/>
      <c r="AE33" s="48"/>
      <c r="AF33" s="48"/>
      <c r="AG33" s="48"/>
    </row>
    <row r="34" spans="1:33" ht="14.45" x14ac:dyDescent="0.3">
      <c r="A34" s="50" t="s">
        <v>266</v>
      </c>
      <c r="B34" s="50"/>
      <c r="C34" s="50"/>
      <c r="D34" s="50"/>
      <c r="E34" s="125">
        <f>0.16</f>
        <v>0.16</v>
      </c>
      <c r="F34" s="58"/>
      <c r="G34" s="51"/>
      <c r="H34" s="58"/>
      <c r="I34" s="51"/>
      <c r="J34" s="53"/>
      <c r="K34" s="58"/>
      <c r="L34" s="51"/>
      <c r="M34" s="58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3" s="48" customFormat="1" ht="14.45" x14ac:dyDescent="0.3">
      <c r="B35" s="60"/>
      <c r="C35" s="60"/>
      <c r="D35" s="60"/>
      <c r="E35" s="56"/>
      <c r="F35" s="61"/>
      <c r="H35" s="56"/>
      <c r="J35" s="56"/>
      <c r="M35" s="56"/>
      <c r="P35" s="56"/>
    </row>
    <row r="36" spans="1:33" s="48" customFormat="1" ht="14.45" x14ac:dyDescent="0.3">
      <c r="A36" s="89" t="s">
        <v>213</v>
      </c>
      <c r="E36" s="56"/>
      <c r="F36" s="56"/>
    </row>
    <row r="37" spans="1:33" s="48" customFormat="1" ht="14.45" x14ac:dyDescent="0.3">
      <c r="A37" s="49"/>
      <c r="B37" s="48" t="s">
        <v>215</v>
      </c>
      <c r="E37" s="56">
        <f>15</f>
        <v>15</v>
      </c>
      <c r="F37" s="56"/>
    </row>
    <row r="38" spans="1:33" s="48" customFormat="1" ht="14.45" x14ac:dyDescent="0.3">
      <c r="B38" s="48" t="s">
        <v>214</v>
      </c>
      <c r="E38" s="56">
        <f>E37*2</f>
        <v>30</v>
      </c>
      <c r="F38" s="56"/>
      <c r="L38" s="62"/>
    </row>
    <row r="39" spans="1:33" ht="14.45" x14ac:dyDescent="0.3">
      <c r="B39" t="s">
        <v>268</v>
      </c>
      <c r="E39" s="57">
        <f>U30</f>
        <v>309.27272727272731</v>
      </c>
    </row>
    <row r="40" spans="1:33" ht="14.45" x14ac:dyDescent="0.3">
      <c r="B40" t="s">
        <v>216</v>
      </c>
      <c r="E40" s="58">
        <f>E39*E38</f>
        <v>9278.1818181818198</v>
      </c>
      <c r="F40" s="56"/>
      <c r="G40" s="56"/>
      <c r="H40" s="56"/>
      <c r="I40" s="56"/>
      <c r="J40" s="56"/>
      <c r="K40" s="56"/>
      <c r="L40" s="45"/>
      <c r="M40" s="56"/>
      <c r="N40" s="56"/>
      <c r="O40" s="56"/>
      <c r="P40" s="56"/>
      <c r="Q40" s="56"/>
      <c r="R40" s="56"/>
      <c r="S40" s="45"/>
      <c r="T40" s="56"/>
      <c r="U40" s="45"/>
    </row>
    <row r="41" spans="1:33" ht="14.45" x14ac:dyDescent="0.3">
      <c r="A41" s="47"/>
      <c r="B41" s="47" t="s">
        <v>217</v>
      </c>
      <c r="C41" s="47"/>
      <c r="D41" s="47"/>
      <c r="E41" s="37">
        <f>E40*50</f>
        <v>463909.090909091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1:33" x14ac:dyDescent="0.25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33" x14ac:dyDescent="0.25">
      <c r="I43" s="8"/>
      <c r="J43" s="8"/>
    </row>
    <row r="44" spans="1:33" x14ac:dyDescent="0.25">
      <c r="L44" s="17"/>
    </row>
    <row r="45" spans="1:33" x14ac:dyDescent="0.25">
      <c r="E45" s="57"/>
      <c r="L45" s="17"/>
      <c r="S45" s="57"/>
      <c r="U45" s="57"/>
    </row>
    <row r="46" spans="1:33" x14ac:dyDescent="0.25">
      <c r="E46" s="63"/>
      <c r="S46" s="63"/>
      <c r="U46" s="63"/>
    </row>
    <row r="47" spans="1:33" x14ac:dyDescent="0.25"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W47" s="64"/>
    </row>
    <row r="48" spans="1:33" x14ac:dyDescent="0.25">
      <c r="W48" s="64"/>
    </row>
    <row r="49" spans="10:12" x14ac:dyDescent="0.25">
      <c r="J49" t="s">
        <v>75</v>
      </c>
    </row>
    <row r="50" spans="10:12" x14ac:dyDescent="0.25">
      <c r="J50" t="s">
        <v>76</v>
      </c>
      <c r="L50" s="12" t="e">
        <f>E34+#REF!</f>
        <v>#REF!</v>
      </c>
    </row>
    <row r="51" spans="10:12" x14ac:dyDescent="0.25">
      <c r="J51" t="s">
        <v>77</v>
      </c>
      <c r="L51" s="12" t="e">
        <f>#REF!</f>
        <v>#REF!</v>
      </c>
    </row>
  </sheetData>
  <printOptions gridLines="1"/>
  <pageMargins left="0.7" right="0.7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topLeftCell="A136" workbookViewId="0">
      <selection activeCell="A125" sqref="A125"/>
    </sheetView>
  </sheetViews>
  <sheetFormatPr defaultRowHeight="15" x14ac:dyDescent="0.25"/>
  <cols>
    <col min="1" max="1" width="6.5703125" customWidth="1"/>
    <col min="2" max="2" width="3.7109375" style="46" customWidth="1"/>
    <col min="3" max="3" width="37.7109375" customWidth="1"/>
    <col min="4" max="4" width="11.85546875" customWidth="1"/>
    <col min="5" max="5" width="11.28515625" customWidth="1"/>
    <col min="6" max="6" width="12" customWidth="1"/>
    <col min="7" max="7" width="12.5703125" customWidth="1"/>
    <col min="8" max="8" width="13.28515625" customWidth="1"/>
    <col min="9" max="9" width="13.42578125" customWidth="1"/>
    <col min="10" max="10" width="12.28515625" customWidth="1"/>
  </cols>
  <sheetData>
    <row r="1" spans="1:10" ht="14.45" x14ac:dyDescent="0.3">
      <c r="A1" s="79" t="s">
        <v>103</v>
      </c>
      <c r="B1" s="79"/>
      <c r="C1" s="79"/>
      <c r="D1" s="79" t="s">
        <v>104</v>
      </c>
      <c r="E1" s="79" t="s">
        <v>105</v>
      </c>
      <c r="F1" s="79" t="s">
        <v>106</v>
      </c>
      <c r="G1" s="79" t="s">
        <v>107</v>
      </c>
      <c r="H1" s="79" t="s">
        <v>108</v>
      </c>
      <c r="I1" s="79" t="s">
        <v>109</v>
      </c>
      <c r="J1" s="79" t="s">
        <v>95</v>
      </c>
    </row>
    <row r="2" spans="1:10" ht="14.45" x14ac:dyDescent="0.3">
      <c r="A2" s="80" t="s">
        <v>110</v>
      </c>
      <c r="B2" s="80"/>
      <c r="C2" s="80"/>
      <c r="D2" s="114">
        <v>0</v>
      </c>
      <c r="E2" s="114">
        <v>1485</v>
      </c>
      <c r="F2" s="114">
        <v>0</v>
      </c>
      <c r="G2" s="114">
        <v>803</v>
      </c>
      <c r="H2" s="114">
        <v>2410</v>
      </c>
      <c r="I2" s="114">
        <v>689</v>
      </c>
      <c r="J2" s="115">
        <f t="shared" ref="J2:J65" si="0">SUM(D2:I2)</f>
        <v>5387</v>
      </c>
    </row>
    <row r="3" spans="1:10" ht="14.45" x14ac:dyDescent="0.3">
      <c r="A3" s="80" t="s">
        <v>111</v>
      </c>
      <c r="B3" s="80"/>
      <c r="C3" s="80"/>
      <c r="D3" s="114">
        <v>0</v>
      </c>
      <c r="E3" s="114">
        <v>0</v>
      </c>
      <c r="F3" s="114">
        <v>0</v>
      </c>
      <c r="G3" s="114">
        <v>0</v>
      </c>
      <c r="H3" s="114">
        <v>1836</v>
      </c>
      <c r="I3" s="114">
        <v>4131</v>
      </c>
      <c r="J3" s="115">
        <f t="shared" si="0"/>
        <v>5967</v>
      </c>
    </row>
    <row r="4" spans="1:10" ht="14.45" x14ac:dyDescent="0.3">
      <c r="A4" s="80" t="s">
        <v>112</v>
      </c>
      <c r="B4" s="80"/>
      <c r="C4" s="80"/>
      <c r="D4" s="114">
        <v>0</v>
      </c>
      <c r="E4" s="114">
        <v>0</v>
      </c>
      <c r="F4" s="114">
        <v>0</v>
      </c>
      <c r="G4" s="114">
        <v>0</v>
      </c>
      <c r="H4" s="114">
        <v>13311</v>
      </c>
      <c r="I4" s="114">
        <v>2295</v>
      </c>
      <c r="J4" s="115">
        <f t="shared" si="0"/>
        <v>15606</v>
      </c>
    </row>
    <row r="5" spans="1:10" ht="14.45" x14ac:dyDescent="0.3">
      <c r="A5" s="80" t="s">
        <v>113</v>
      </c>
      <c r="B5" s="80"/>
      <c r="C5" s="80"/>
      <c r="D5" s="114">
        <v>1428</v>
      </c>
      <c r="E5" s="114">
        <v>3927</v>
      </c>
      <c r="F5" s="114">
        <v>4015</v>
      </c>
      <c r="G5" s="114">
        <v>5139</v>
      </c>
      <c r="H5" s="114">
        <v>4945</v>
      </c>
      <c r="I5" s="114">
        <v>3959</v>
      </c>
      <c r="J5" s="115">
        <f t="shared" si="0"/>
        <v>23413</v>
      </c>
    </row>
    <row r="6" spans="1:10" ht="14.45" x14ac:dyDescent="0.3">
      <c r="A6" s="80" t="s">
        <v>114</v>
      </c>
      <c r="B6" s="80"/>
      <c r="C6" s="80"/>
      <c r="D6" s="114">
        <v>0</v>
      </c>
      <c r="E6" s="114">
        <v>0</v>
      </c>
      <c r="F6" s="114">
        <v>0</v>
      </c>
      <c r="G6" s="114">
        <v>765</v>
      </c>
      <c r="H6" s="114">
        <v>85</v>
      </c>
      <c r="I6" s="114">
        <v>0</v>
      </c>
      <c r="J6" s="115">
        <f t="shared" si="0"/>
        <v>850</v>
      </c>
    </row>
    <row r="7" spans="1:10" ht="14.45" x14ac:dyDescent="0.3">
      <c r="A7" s="80" t="s">
        <v>115</v>
      </c>
      <c r="B7" s="80"/>
      <c r="C7" s="80"/>
      <c r="D7" s="114">
        <v>0</v>
      </c>
      <c r="E7" s="114">
        <v>0</v>
      </c>
      <c r="F7" s="114">
        <v>1377</v>
      </c>
      <c r="G7" s="114">
        <v>0</v>
      </c>
      <c r="H7" s="114">
        <v>0</v>
      </c>
      <c r="I7" s="114">
        <v>0</v>
      </c>
      <c r="J7" s="115">
        <f t="shared" si="0"/>
        <v>1377</v>
      </c>
    </row>
    <row r="8" spans="1:10" ht="14.45" x14ac:dyDescent="0.3">
      <c r="A8" s="80" t="s">
        <v>116</v>
      </c>
      <c r="B8" s="80"/>
      <c r="C8" s="80"/>
      <c r="D8" s="114">
        <v>278.20999999999998</v>
      </c>
      <c r="E8" s="114">
        <v>500.77</v>
      </c>
      <c r="F8" s="114">
        <v>946</v>
      </c>
      <c r="G8" s="114">
        <v>640</v>
      </c>
      <c r="H8" s="114">
        <v>417</v>
      </c>
      <c r="I8" s="114">
        <v>1252</v>
      </c>
      <c r="J8" s="115">
        <f t="shared" si="0"/>
        <v>4033.98</v>
      </c>
    </row>
    <row r="9" spans="1:10" ht="14.45" x14ac:dyDescent="0.3">
      <c r="A9" s="80" t="s">
        <v>117</v>
      </c>
      <c r="B9" s="80"/>
      <c r="C9" s="80"/>
      <c r="D9" s="114">
        <v>6587.5</v>
      </c>
      <c r="E9" s="114">
        <v>6587.5</v>
      </c>
      <c r="F9" s="114">
        <v>6588</v>
      </c>
      <c r="G9" s="114">
        <v>6588</v>
      </c>
      <c r="H9" s="114">
        <v>6588</v>
      </c>
      <c r="I9" s="114">
        <v>9881</v>
      </c>
      <c r="J9" s="115">
        <f t="shared" si="0"/>
        <v>42820</v>
      </c>
    </row>
    <row r="10" spans="1:10" ht="14.45" x14ac:dyDescent="0.3">
      <c r="A10" s="80" t="s">
        <v>118</v>
      </c>
      <c r="B10" s="80"/>
      <c r="C10" s="80"/>
      <c r="D10" s="114">
        <v>2062.5</v>
      </c>
      <c r="E10" s="114">
        <v>1650</v>
      </c>
      <c r="F10" s="114">
        <v>2063</v>
      </c>
      <c r="G10" s="114">
        <v>1650</v>
      </c>
      <c r="H10" s="114">
        <v>1650</v>
      </c>
      <c r="I10" s="114">
        <v>1650</v>
      </c>
      <c r="J10" s="115">
        <f t="shared" si="0"/>
        <v>10725.5</v>
      </c>
    </row>
    <row r="11" spans="1:10" ht="14.45" x14ac:dyDescent="0.3">
      <c r="A11" s="80" t="s">
        <v>119</v>
      </c>
      <c r="B11" s="80"/>
      <c r="C11" s="80"/>
      <c r="D11" s="114">
        <v>5325.5</v>
      </c>
      <c r="E11" s="114">
        <v>3806.28</v>
      </c>
      <c r="F11" s="114">
        <v>6320</v>
      </c>
      <c r="G11" s="114">
        <v>6776</v>
      </c>
      <c r="H11" s="114">
        <v>8096</v>
      </c>
      <c r="I11" s="114">
        <v>7861</v>
      </c>
      <c r="J11" s="115">
        <f t="shared" si="0"/>
        <v>38184.78</v>
      </c>
    </row>
    <row r="12" spans="1:10" ht="14.45" x14ac:dyDescent="0.3">
      <c r="A12" s="80" t="s">
        <v>120</v>
      </c>
      <c r="B12" s="80"/>
      <c r="C12" s="80"/>
      <c r="D12" s="114">
        <v>0</v>
      </c>
      <c r="E12" s="114">
        <v>500</v>
      </c>
      <c r="F12" s="114">
        <v>0</v>
      </c>
      <c r="G12" s="114">
        <v>0</v>
      </c>
      <c r="H12" s="114">
        <v>0</v>
      </c>
      <c r="I12" s="114">
        <v>0</v>
      </c>
      <c r="J12" s="115">
        <f t="shared" si="0"/>
        <v>500</v>
      </c>
    </row>
    <row r="13" spans="1:10" ht="14.45" x14ac:dyDescent="0.3">
      <c r="A13" s="80" t="s">
        <v>121</v>
      </c>
      <c r="B13" s="80"/>
      <c r="C13" s="80"/>
      <c r="D13" s="114">
        <v>0</v>
      </c>
      <c r="E13" s="114">
        <v>0</v>
      </c>
      <c r="F13" s="114">
        <v>538</v>
      </c>
      <c r="G13" s="114">
        <v>10459</v>
      </c>
      <c r="H13" s="114">
        <v>9963</v>
      </c>
      <c r="I13" s="114">
        <f>7425+20</f>
        <v>7445</v>
      </c>
      <c r="J13" s="115">
        <f t="shared" si="0"/>
        <v>28405</v>
      </c>
    </row>
    <row r="14" spans="1:10" ht="14.45" x14ac:dyDescent="0.3">
      <c r="A14" s="80" t="s">
        <v>122</v>
      </c>
      <c r="B14" s="80"/>
      <c r="C14" s="80"/>
      <c r="D14" s="114">
        <v>0</v>
      </c>
      <c r="E14" s="114">
        <v>0</v>
      </c>
      <c r="F14" s="114">
        <v>17000</v>
      </c>
      <c r="G14" s="114">
        <v>0</v>
      </c>
      <c r="H14" s="114">
        <v>0</v>
      </c>
      <c r="I14" s="114">
        <v>0</v>
      </c>
      <c r="J14" s="115">
        <f t="shared" si="0"/>
        <v>17000</v>
      </c>
    </row>
    <row r="15" spans="1:10" ht="14.45" x14ac:dyDescent="0.3">
      <c r="A15" s="80" t="s">
        <v>123</v>
      </c>
      <c r="B15" s="80"/>
      <c r="C15" s="80"/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5">
        <f t="shared" si="0"/>
        <v>0</v>
      </c>
    </row>
    <row r="16" spans="1:10" ht="14.45" x14ac:dyDescent="0.3">
      <c r="A16" s="80" t="s">
        <v>124</v>
      </c>
      <c r="B16" s="80"/>
      <c r="C16" s="80"/>
      <c r="D16" s="114">
        <v>1477.32</v>
      </c>
      <c r="E16" s="114">
        <v>5320.92</v>
      </c>
      <c r="F16" s="114">
        <v>6352</v>
      </c>
      <c r="G16" s="114">
        <v>5063</v>
      </c>
      <c r="H16" s="114">
        <v>5094</v>
      </c>
      <c r="I16" s="114">
        <v>1636</v>
      </c>
      <c r="J16" s="115">
        <f t="shared" si="0"/>
        <v>24943.239999999998</v>
      </c>
    </row>
    <row r="17" spans="1:10" ht="14.45" x14ac:dyDescent="0.3">
      <c r="A17" s="80" t="s">
        <v>125</v>
      </c>
      <c r="B17" s="80"/>
      <c r="C17" s="80"/>
      <c r="D17" s="114">
        <v>0</v>
      </c>
      <c r="E17" s="114">
        <v>0</v>
      </c>
      <c r="F17" s="114">
        <v>2525</v>
      </c>
      <c r="G17" s="114">
        <v>0</v>
      </c>
      <c r="H17" s="114">
        <v>0</v>
      </c>
      <c r="I17" s="114">
        <v>0</v>
      </c>
      <c r="J17" s="115">
        <f t="shared" si="0"/>
        <v>2525</v>
      </c>
    </row>
    <row r="18" spans="1:10" ht="14.45" x14ac:dyDescent="0.3">
      <c r="A18" s="80" t="s">
        <v>126</v>
      </c>
      <c r="B18" s="80"/>
      <c r="C18" s="80"/>
      <c r="D18" s="114">
        <v>0</v>
      </c>
      <c r="E18" s="114">
        <v>0</v>
      </c>
      <c r="F18" s="114">
        <v>0</v>
      </c>
      <c r="G18" s="114">
        <v>216</v>
      </c>
      <c r="H18" s="114">
        <v>187</v>
      </c>
      <c r="I18" s="114">
        <v>0</v>
      </c>
      <c r="J18" s="115">
        <f t="shared" si="0"/>
        <v>403</v>
      </c>
    </row>
    <row r="19" spans="1:10" ht="14.45" x14ac:dyDescent="0.3">
      <c r="A19" s="80" t="s">
        <v>127</v>
      </c>
      <c r="B19" s="80"/>
      <c r="C19" s="80"/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5">
        <f t="shared" si="0"/>
        <v>0</v>
      </c>
    </row>
    <row r="20" spans="1:10" ht="14.45" x14ac:dyDescent="0.3">
      <c r="A20" s="80" t="s">
        <v>128</v>
      </c>
      <c r="B20" s="80"/>
      <c r="C20" s="80"/>
      <c r="D20" s="114">
        <v>0</v>
      </c>
      <c r="E20" s="114">
        <v>0</v>
      </c>
      <c r="F20" s="114">
        <v>3091</v>
      </c>
      <c r="G20" s="114">
        <v>0</v>
      </c>
      <c r="H20" s="114">
        <v>0</v>
      </c>
      <c r="I20" s="114">
        <v>0</v>
      </c>
      <c r="J20" s="115">
        <f t="shared" si="0"/>
        <v>3091</v>
      </c>
    </row>
    <row r="21" spans="1:10" ht="14.45" x14ac:dyDescent="0.3">
      <c r="A21" s="80" t="s">
        <v>129</v>
      </c>
      <c r="B21" s="80"/>
      <c r="C21" s="80"/>
      <c r="D21" s="114">
        <v>0</v>
      </c>
      <c r="E21" s="114">
        <v>0</v>
      </c>
      <c r="F21" s="114">
        <v>0</v>
      </c>
      <c r="G21" s="114">
        <v>459</v>
      </c>
      <c r="H21" s="114">
        <v>3162</v>
      </c>
      <c r="I21" s="114">
        <v>1062</v>
      </c>
      <c r="J21" s="115">
        <f t="shared" si="0"/>
        <v>4683</v>
      </c>
    </row>
    <row r="22" spans="1:10" ht="14.45" x14ac:dyDescent="0.3">
      <c r="A22" s="80" t="s">
        <v>130</v>
      </c>
      <c r="B22" s="80"/>
      <c r="C22" s="80"/>
      <c r="D22" s="114">
        <v>0</v>
      </c>
      <c r="E22" s="114">
        <v>0</v>
      </c>
      <c r="F22" s="114">
        <v>0</v>
      </c>
      <c r="G22" s="114">
        <v>1500</v>
      </c>
      <c r="H22" s="114">
        <v>900</v>
      </c>
      <c r="I22" s="114">
        <v>1200</v>
      </c>
      <c r="J22" s="115">
        <f t="shared" si="0"/>
        <v>3600</v>
      </c>
    </row>
    <row r="23" spans="1:10" ht="14.45" x14ac:dyDescent="0.3">
      <c r="A23" s="80" t="s">
        <v>131</v>
      </c>
      <c r="B23" s="80"/>
      <c r="C23" s="80"/>
      <c r="D23" s="114">
        <v>0</v>
      </c>
      <c r="E23" s="114">
        <v>0</v>
      </c>
      <c r="F23" s="114">
        <v>0</v>
      </c>
      <c r="G23" s="114">
        <v>0</v>
      </c>
      <c r="H23" s="114">
        <v>6750</v>
      </c>
      <c r="I23" s="114">
        <v>0</v>
      </c>
      <c r="J23" s="115">
        <f t="shared" si="0"/>
        <v>6750</v>
      </c>
    </row>
    <row r="24" spans="1:10" ht="14.45" x14ac:dyDescent="0.3">
      <c r="A24" s="80" t="s">
        <v>132</v>
      </c>
      <c r="B24" s="80"/>
      <c r="C24" s="80"/>
      <c r="D24" s="114">
        <v>0</v>
      </c>
      <c r="E24" s="114">
        <v>0</v>
      </c>
      <c r="F24" s="114">
        <v>5100</v>
      </c>
      <c r="G24" s="114">
        <v>1505</v>
      </c>
      <c r="H24" s="114">
        <v>0</v>
      </c>
      <c r="I24" s="114">
        <v>0</v>
      </c>
      <c r="J24" s="115">
        <f t="shared" si="0"/>
        <v>6605</v>
      </c>
    </row>
    <row r="25" spans="1:10" ht="14.45" x14ac:dyDescent="0.3">
      <c r="A25" s="80" t="s">
        <v>133</v>
      </c>
      <c r="B25" s="80"/>
      <c r="C25" s="80"/>
      <c r="D25" s="114">
        <v>11693.42</v>
      </c>
      <c r="E25" s="114">
        <v>9224.52</v>
      </c>
      <c r="F25" s="114">
        <v>2050</v>
      </c>
      <c r="G25" s="114">
        <v>0</v>
      </c>
      <c r="H25" s="114">
        <v>0</v>
      </c>
      <c r="I25" s="114">
        <v>0</v>
      </c>
      <c r="J25" s="115">
        <f t="shared" si="0"/>
        <v>22967.940000000002</v>
      </c>
    </row>
    <row r="26" spans="1:10" ht="14.45" x14ac:dyDescent="0.3">
      <c r="A26" s="80" t="s">
        <v>134</v>
      </c>
      <c r="B26" s="80"/>
      <c r="C26" s="80"/>
      <c r="D26" s="114">
        <v>0</v>
      </c>
      <c r="E26" s="114">
        <v>0</v>
      </c>
      <c r="F26" s="114">
        <v>0</v>
      </c>
      <c r="G26" s="114">
        <v>0</v>
      </c>
      <c r="H26" s="114">
        <v>981</v>
      </c>
      <c r="I26" s="114">
        <v>589</v>
      </c>
      <c r="J26" s="115">
        <f t="shared" si="0"/>
        <v>1570</v>
      </c>
    </row>
    <row r="27" spans="1:10" ht="14.45" x14ac:dyDescent="0.3">
      <c r="A27" s="80" t="s">
        <v>135</v>
      </c>
      <c r="B27" s="80"/>
      <c r="C27" s="80"/>
      <c r="D27" s="114">
        <v>0</v>
      </c>
      <c r="E27" s="114">
        <v>0</v>
      </c>
      <c r="F27" s="114">
        <v>3825</v>
      </c>
      <c r="G27" s="114">
        <v>4781</v>
      </c>
      <c r="H27" s="114">
        <v>0</v>
      </c>
      <c r="I27" s="114">
        <v>0</v>
      </c>
      <c r="J27" s="115">
        <f t="shared" si="0"/>
        <v>8606</v>
      </c>
    </row>
    <row r="28" spans="1:10" ht="14.45" x14ac:dyDescent="0.3">
      <c r="A28" s="80" t="s">
        <v>136</v>
      </c>
      <c r="B28" s="80"/>
      <c r="C28" s="80"/>
      <c r="D28" s="114">
        <v>0</v>
      </c>
      <c r="E28" s="114">
        <v>0</v>
      </c>
      <c r="F28" s="114">
        <v>0</v>
      </c>
      <c r="G28" s="114">
        <v>1727</v>
      </c>
      <c r="H28" s="114">
        <v>2348</v>
      </c>
      <c r="I28" s="114">
        <v>0</v>
      </c>
      <c r="J28" s="115">
        <f t="shared" si="0"/>
        <v>4075</v>
      </c>
    </row>
    <row r="29" spans="1:10" ht="14.45" x14ac:dyDescent="0.3">
      <c r="A29" s="80" t="s">
        <v>137</v>
      </c>
      <c r="B29" s="80"/>
      <c r="C29" s="80"/>
      <c r="D29" s="114">
        <v>0</v>
      </c>
      <c r="E29" s="114">
        <v>0</v>
      </c>
      <c r="F29" s="114">
        <v>5525</v>
      </c>
      <c r="G29" s="114">
        <v>0</v>
      </c>
      <c r="H29" s="114">
        <v>2762</v>
      </c>
      <c r="I29" s="114">
        <v>5525</v>
      </c>
      <c r="J29" s="115">
        <f t="shared" si="0"/>
        <v>13812</v>
      </c>
    </row>
    <row r="30" spans="1:10" ht="14.45" x14ac:dyDescent="0.3">
      <c r="A30" s="80" t="s">
        <v>138</v>
      </c>
      <c r="B30" s="80"/>
      <c r="C30" s="80"/>
      <c r="D30" s="114">
        <v>0</v>
      </c>
      <c r="E30" s="114">
        <v>0</v>
      </c>
      <c r="F30" s="114">
        <v>1190</v>
      </c>
      <c r="G30" s="114">
        <v>0</v>
      </c>
      <c r="H30" s="114">
        <v>0</v>
      </c>
      <c r="I30" s="114">
        <v>0</v>
      </c>
      <c r="J30" s="115">
        <f t="shared" si="0"/>
        <v>1190</v>
      </c>
    </row>
    <row r="31" spans="1:10" ht="14.45" x14ac:dyDescent="0.3">
      <c r="A31" s="80" t="s">
        <v>139</v>
      </c>
      <c r="B31" s="80"/>
      <c r="C31" s="80"/>
      <c r="D31" s="114">
        <v>10276.5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5">
        <f t="shared" si="0"/>
        <v>10276.5</v>
      </c>
    </row>
    <row r="32" spans="1:10" ht="14.45" x14ac:dyDescent="0.3">
      <c r="A32" s="80" t="s">
        <v>140</v>
      </c>
      <c r="B32" s="80"/>
      <c r="C32" s="80"/>
      <c r="D32" s="114">
        <v>1300.6400000000001</v>
      </c>
      <c r="E32" s="114">
        <v>1266.02</v>
      </c>
      <c r="F32" s="114">
        <v>1042</v>
      </c>
      <c r="G32" s="114">
        <v>1312</v>
      </c>
      <c r="H32" s="114">
        <v>1077</v>
      </c>
      <c r="I32" s="114">
        <v>992</v>
      </c>
      <c r="J32" s="115">
        <f t="shared" si="0"/>
        <v>6989.66</v>
      </c>
    </row>
    <row r="33" spans="1:10" ht="14.45" x14ac:dyDescent="0.3">
      <c r="A33" s="80" t="s">
        <v>141</v>
      </c>
      <c r="B33" s="80"/>
      <c r="C33" s="80"/>
      <c r="D33" s="114">
        <v>851.09</v>
      </c>
      <c r="E33" s="114">
        <v>2388.84</v>
      </c>
      <c r="F33" s="114">
        <v>1808</v>
      </c>
      <c r="G33" s="114">
        <v>7666</v>
      </c>
      <c r="H33" s="114">
        <v>7493</v>
      </c>
      <c r="I33" s="114">
        <v>5770</v>
      </c>
      <c r="J33" s="115">
        <f t="shared" si="0"/>
        <v>25976.93</v>
      </c>
    </row>
    <row r="34" spans="1:10" ht="14.45" x14ac:dyDescent="0.3">
      <c r="A34" s="80" t="s">
        <v>142</v>
      </c>
      <c r="B34" s="80"/>
      <c r="C34" s="80"/>
      <c r="D34" s="114">
        <v>0</v>
      </c>
      <c r="E34" s="114">
        <v>1933.75</v>
      </c>
      <c r="F34" s="114">
        <v>0</v>
      </c>
      <c r="G34" s="114">
        <v>859</v>
      </c>
      <c r="H34" s="114">
        <v>6464</v>
      </c>
      <c r="I34" s="114">
        <v>0</v>
      </c>
      <c r="J34" s="115">
        <f t="shared" si="0"/>
        <v>9256.75</v>
      </c>
    </row>
    <row r="35" spans="1:10" ht="14.45" x14ac:dyDescent="0.3">
      <c r="A35" s="80" t="s">
        <v>143</v>
      </c>
      <c r="B35" s="80"/>
      <c r="C35" s="80"/>
      <c r="D35" s="114">
        <v>7129.54</v>
      </c>
      <c r="E35" s="114">
        <v>2830.19</v>
      </c>
      <c r="F35" s="114">
        <v>1659</v>
      </c>
      <c r="G35" s="114">
        <v>3221</v>
      </c>
      <c r="H35" s="114">
        <v>2132</v>
      </c>
      <c r="I35" s="114">
        <f>1225+1229</f>
        <v>2454</v>
      </c>
      <c r="J35" s="115">
        <f t="shared" si="0"/>
        <v>19425.73</v>
      </c>
    </row>
    <row r="36" spans="1:10" ht="14.45" x14ac:dyDescent="0.3">
      <c r="A36" s="80" t="s">
        <v>144</v>
      </c>
      <c r="B36" s="80"/>
      <c r="C36" s="80"/>
      <c r="D36" s="114">
        <v>637.5</v>
      </c>
      <c r="E36" s="114">
        <v>765</v>
      </c>
      <c r="F36" s="114">
        <v>383</v>
      </c>
      <c r="G36" s="114">
        <v>383</v>
      </c>
      <c r="H36" s="114">
        <v>0</v>
      </c>
      <c r="I36" s="114">
        <v>0</v>
      </c>
      <c r="J36" s="115">
        <f t="shared" si="0"/>
        <v>2168.5</v>
      </c>
    </row>
    <row r="37" spans="1:10" ht="14.45" x14ac:dyDescent="0.3">
      <c r="A37" s="80" t="s">
        <v>145</v>
      </c>
      <c r="B37" s="80"/>
      <c r="C37" s="80"/>
      <c r="D37" s="114">
        <v>3750</v>
      </c>
      <c r="E37" s="114">
        <v>5000</v>
      </c>
      <c r="F37" s="114">
        <v>6250</v>
      </c>
      <c r="G37" s="114">
        <v>2500</v>
      </c>
      <c r="H37" s="114">
        <v>0</v>
      </c>
      <c r="I37" s="114">
        <v>0</v>
      </c>
      <c r="J37" s="115">
        <f t="shared" si="0"/>
        <v>17500</v>
      </c>
    </row>
    <row r="38" spans="1:10" ht="14.45" x14ac:dyDescent="0.3">
      <c r="A38" s="80" t="s">
        <v>146</v>
      </c>
      <c r="B38" s="80"/>
      <c r="C38" s="80"/>
      <c r="D38" s="114">
        <v>0</v>
      </c>
      <c r="E38" s="114">
        <v>0</v>
      </c>
      <c r="F38" s="114">
        <v>1530</v>
      </c>
      <c r="G38" s="114">
        <v>1870</v>
      </c>
      <c r="H38" s="114">
        <v>1806</v>
      </c>
      <c r="I38" s="114">
        <v>1594</v>
      </c>
      <c r="J38" s="115">
        <f t="shared" si="0"/>
        <v>6800</v>
      </c>
    </row>
    <row r="39" spans="1:10" ht="14.45" x14ac:dyDescent="0.3">
      <c r="A39" s="80" t="s">
        <v>147</v>
      </c>
      <c r="B39" s="80"/>
      <c r="C39" s="80"/>
      <c r="D39" s="114">
        <v>0</v>
      </c>
      <c r="E39" s="114">
        <v>2040</v>
      </c>
      <c r="F39" s="114">
        <v>0</v>
      </c>
      <c r="G39" s="114">
        <v>0</v>
      </c>
      <c r="H39" s="114">
        <v>0</v>
      </c>
      <c r="I39" s="114">
        <v>1148</v>
      </c>
      <c r="J39" s="115">
        <f t="shared" si="0"/>
        <v>3188</v>
      </c>
    </row>
    <row r="40" spans="1:10" ht="14.45" x14ac:dyDescent="0.3">
      <c r="A40" s="80" t="s">
        <v>148</v>
      </c>
      <c r="B40" s="80"/>
      <c r="C40" s="80"/>
      <c r="D40" s="114">
        <v>0</v>
      </c>
      <c r="E40" s="114">
        <v>0</v>
      </c>
      <c r="F40" s="114">
        <v>0</v>
      </c>
      <c r="G40" s="114">
        <v>995</v>
      </c>
      <c r="H40" s="114">
        <v>1191</v>
      </c>
      <c r="I40" s="114">
        <v>1934</v>
      </c>
      <c r="J40" s="115">
        <f t="shared" si="0"/>
        <v>4120</v>
      </c>
    </row>
    <row r="41" spans="1:10" ht="14.45" x14ac:dyDescent="0.3">
      <c r="A41" s="80" t="s">
        <v>149</v>
      </c>
      <c r="B41" s="80"/>
      <c r="C41" s="80"/>
      <c r="D41" s="114">
        <v>0</v>
      </c>
      <c r="E41" s="114">
        <v>0</v>
      </c>
      <c r="F41" s="114">
        <v>4454</v>
      </c>
      <c r="G41" s="114">
        <v>0</v>
      </c>
      <c r="H41" s="114">
        <v>0</v>
      </c>
      <c r="I41" s="114">
        <v>0</v>
      </c>
      <c r="J41" s="115">
        <f t="shared" si="0"/>
        <v>4454</v>
      </c>
    </row>
    <row r="42" spans="1:10" ht="14.45" x14ac:dyDescent="0.3">
      <c r="A42" s="80" t="s">
        <v>150</v>
      </c>
      <c r="B42" s="80"/>
      <c r="C42" s="80"/>
      <c r="D42" s="114">
        <v>3551.42</v>
      </c>
      <c r="E42" s="114">
        <v>3147.01</v>
      </c>
      <c r="F42" s="114">
        <v>1701</v>
      </c>
      <c r="G42" s="114">
        <v>1701</v>
      </c>
      <c r="H42" s="114">
        <v>1701</v>
      </c>
      <c r="I42" s="114">
        <v>1701</v>
      </c>
      <c r="J42" s="115">
        <f t="shared" si="0"/>
        <v>13502.43</v>
      </c>
    </row>
    <row r="43" spans="1:10" ht="14.45" x14ac:dyDescent="0.3">
      <c r="A43" s="80" t="s">
        <v>151</v>
      </c>
      <c r="B43" s="80"/>
      <c r="C43" s="80"/>
      <c r="D43" s="114">
        <v>4400.93</v>
      </c>
      <c r="E43" s="114">
        <v>3430.83</v>
      </c>
      <c r="F43" s="114">
        <v>2326</v>
      </c>
      <c r="G43" s="114">
        <v>4278</v>
      </c>
      <c r="H43" s="114">
        <v>0</v>
      </c>
      <c r="I43" s="114">
        <v>0</v>
      </c>
      <c r="J43" s="115">
        <f t="shared" si="0"/>
        <v>14435.76</v>
      </c>
    </row>
    <row r="44" spans="1:10" ht="14.45" x14ac:dyDescent="0.3">
      <c r="A44" s="80" t="s">
        <v>152</v>
      </c>
      <c r="B44" s="80"/>
      <c r="C44" s="80"/>
      <c r="D44" s="114">
        <v>0</v>
      </c>
      <c r="E44" s="114">
        <v>0</v>
      </c>
      <c r="F44" s="114">
        <v>1500</v>
      </c>
      <c r="G44" s="114">
        <v>0</v>
      </c>
      <c r="H44" s="114">
        <v>0</v>
      </c>
      <c r="I44" s="114">
        <v>0</v>
      </c>
      <c r="J44" s="115">
        <f t="shared" si="0"/>
        <v>1500</v>
      </c>
    </row>
    <row r="45" spans="1:10" ht="14.45" x14ac:dyDescent="0.3">
      <c r="A45" s="80" t="s">
        <v>153</v>
      </c>
      <c r="B45" s="80"/>
      <c r="C45" s="80"/>
      <c r="D45" s="114">
        <v>0</v>
      </c>
      <c r="E45" s="114">
        <v>612</v>
      </c>
      <c r="F45" s="114">
        <v>0</v>
      </c>
      <c r="G45" s="114">
        <v>0</v>
      </c>
      <c r="H45" s="114">
        <v>0</v>
      </c>
      <c r="I45" s="114">
        <v>0</v>
      </c>
      <c r="J45" s="115">
        <f t="shared" si="0"/>
        <v>612</v>
      </c>
    </row>
    <row r="46" spans="1:10" ht="14.45" x14ac:dyDescent="0.3">
      <c r="A46" s="80" t="s">
        <v>154</v>
      </c>
      <c r="B46" s="80"/>
      <c r="C46" s="80"/>
      <c r="D46" s="114">
        <v>0</v>
      </c>
      <c r="E46" s="114">
        <v>0</v>
      </c>
      <c r="F46" s="114">
        <v>5738</v>
      </c>
      <c r="G46" s="114">
        <v>0</v>
      </c>
      <c r="H46" s="114">
        <v>6375</v>
      </c>
      <c r="I46" s="114">
        <v>0</v>
      </c>
      <c r="J46" s="115">
        <f t="shared" si="0"/>
        <v>12113</v>
      </c>
    </row>
    <row r="47" spans="1:10" ht="14.45" x14ac:dyDescent="0.3">
      <c r="A47" s="80" t="s">
        <v>155</v>
      </c>
      <c r="B47" s="80"/>
      <c r="C47" s="80"/>
      <c r="D47" s="114">
        <v>5000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5">
        <f t="shared" si="0"/>
        <v>5000</v>
      </c>
    </row>
    <row r="48" spans="1:10" ht="14.45" x14ac:dyDescent="0.3">
      <c r="A48" s="80" t="s">
        <v>156</v>
      </c>
      <c r="B48" s="80"/>
      <c r="C48" s="80"/>
      <c r="D48" s="114">
        <v>1285.72</v>
      </c>
      <c r="E48" s="114">
        <v>0</v>
      </c>
      <c r="F48" s="114">
        <v>2000</v>
      </c>
      <c r="G48" s="114">
        <v>2500</v>
      </c>
      <c r="H48" s="114">
        <v>2000</v>
      </c>
      <c r="I48" s="114">
        <v>2000</v>
      </c>
      <c r="J48" s="115">
        <f t="shared" si="0"/>
        <v>9785.7200000000012</v>
      </c>
    </row>
    <row r="49" spans="1:10" ht="14.45" x14ac:dyDescent="0.3">
      <c r="A49" s="80" t="s">
        <v>157</v>
      </c>
      <c r="B49" s="80"/>
      <c r="C49" s="80"/>
      <c r="D49" s="114">
        <v>0</v>
      </c>
      <c r="E49" s="114">
        <v>0</v>
      </c>
      <c r="F49" s="114">
        <v>1609</v>
      </c>
      <c r="G49" s="114">
        <v>3370</v>
      </c>
      <c r="H49" s="114">
        <v>3090</v>
      </c>
      <c r="I49" s="114">
        <v>1615</v>
      </c>
      <c r="J49" s="115">
        <f t="shared" si="0"/>
        <v>9684</v>
      </c>
    </row>
    <row r="50" spans="1:10" ht="14.45" x14ac:dyDescent="0.3">
      <c r="A50" s="80" t="s">
        <v>158</v>
      </c>
      <c r="B50" s="80"/>
      <c r="C50" s="80"/>
      <c r="D50" s="114">
        <v>5382.31</v>
      </c>
      <c r="E50" s="114">
        <v>7271.55</v>
      </c>
      <c r="F50" s="114">
        <v>7192</v>
      </c>
      <c r="G50" s="114">
        <f>1496+2172</f>
        <v>3668</v>
      </c>
      <c r="H50" s="114">
        <f>3773+6481</f>
        <v>10254</v>
      </c>
      <c r="I50" s="114">
        <f>5053+3557</f>
        <v>8610</v>
      </c>
      <c r="J50" s="115">
        <f t="shared" si="0"/>
        <v>42377.86</v>
      </c>
    </row>
    <row r="51" spans="1:10" ht="14.45" x14ac:dyDescent="0.3">
      <c r="A51" s="80" t="s">
        <v>159</v>
      </c>
      <c r="B51" s="80"/>
      <c r="C51" s="80"/>
      <c r="D51" s="114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15">
        <f t="shared" si="0"/>
        <v>0</v>
      </c>
    </row>
    <row r="52" spans="1:10" ht="14.45" x14ac:dyDescent="0.3">
      <c r="A52" s="80" t="s">
        <v>160</v>
      </c>
      <c r="B52" s="80"/>
      <c r="C52" s="80"/>
      <c r="D52" s="114">
        <v>0</v>
      </c>
      <c r="E52" s="114">
        <v>0</v>
      </c>
      <c r="F52" s="114">
        <v>62</v>
      </c>
      <c r="G52" s="114">
        <v>0</v>
      </c>
      <c r="H52" s="114">
        <v>0</v>
      </c>
      <c r="I52" s="114">
        <v>0</v>
      </c>
      <c r="J52" s="115">
        <f t="shared" si="0"/>
        <v>62</v>
      </c>
    </row>
    <row r="53" spans="1:10" ht="14.45" x14ac:dyDescent="0.3">
      <c r="A53" s="80" t="s">
        <v>161</v>
      </c>
      <c r="B53" s="80"/>
      <c r="C53" s="80"/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5">
        <f t="shared" si="0"/>
        <v>0</v>
      </c>
    </row>
    <row r="54" spans="1:10" ht="14.45" x14ac:dyDescent="0.3">
      <c r="A54" s="80" t="s">
        <v>162</v>
      </c>
      <c r="B54" s="80"/>
      <c r="C54" s="80"/>
      <c r="D54" s="114">
        <v>0</v>
      </c>
      <c r="E54" s="114">
        <v>270</v>
      </c>
      <c r="F54" s="114">
        <v>3167</v>
      </c>
      <c r="G54" s="114">
        <v>2878</v>
      </c>
      <c r="H54" s="114">
        <v>2335</v>
      </c>
      <c r="I54" s="114">
        <v>0</v>
      </c>
      <c r="J54" s="115">
        <f t="shared" si="0"/>
        <v>8650</v>
      </c>
    </row>
    <row r="55" spans="1:10" ht="14.45" x14ac:dyDescent="0.3">
      <c r="A55" s="80" t="s">
        <v>163</v>
      </c>
      <c r="B55" s="80"/>
      <c r="C55" s="80"/>
      <c r="D55" s="114">
        <v>0</v>
      </c>
      <c r="E55" s="114">
        <v>0</v>
      </c>
      <c r="F55" s="114">
        <v>0</v>
      </c>
      <c r="G55" s="114">
        <v>2000</v>
      </c>
      <c r="H55" s="114">
        <v>2500</v>
      </c>
      <c r="I55" s="114">
        <v>2000</v>
      </c>
      <c r="J55" s="115">
        <f t="shared" si="0"/>
        <v>6500</v>
      </c>
    </row>
    <row r="56" spans="1:10" ht="14.45" x14ac:dyDescent="0.3">
      <c r="A56" s="80" t="s">
        <v>164</v>
      </c>
      <c r="B56" s="80"/>
      <c r="C56" s="80"/>
      <c r="D56" s="114">
        <v>0</v>
      </c>
      <c r="E56" s="114">
        <v>0</v>
      </c>
      <c r="F56" s="114">
        <v>0</v>
      </c>
      <c r="G56" s="114">
        <v>1308</v>
      </c>
      <c r="H56" s="114">
        <v>1424</v>
      </c>
      <c r="I56" s="114">
        <v>2040</v>
      </c>
      <c r="J56" s="115">
        <f t="shared" si="0"/>
        <v>4772</v>
      </c>
    </row>
    <row r="57" spans="1:10" ht="14.45" x14ac:dyDescent="0.3">
      <c r="A57" s="80" t="s">
        <v>165</v>
      </c>
      <c r="B57" s="80"/>
      <c r="C57" s="80"/>
      <c r="D57" s="114">
        <v>2500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5">
        <f t="shared" si="0"/>
        <v>2500</v>
      </c>
    </row>
    <row r="58" spans="1:10" ht="14.45" x14ac:dyDescent="0.3">
      <c r="A58" s="80" t="s">
        <v>166</v>
      </c>
      <c r="B58" s="80"/>
      <c r="C58" s="80"/>
      <c r="D58" s="114">
        <v>0</v>
      </c>
      <c r="E58" s="114">
        <v>0</v>
      </c>
      <c r="F58" s="114">
        <v>0</v>
      </c>
      <c r="G58" s="114">
        <v>2250</v>
      </c>
      <c r="H58" s="114">
        <v>0</v>
      </c>
      <c r="I58" s="114">
        <v>0</v>
      </c>
      <c r="J58" s="115">
        <f t="shared" si="0"/>
        <v>2250</v>
      </c>
    </row>
    <row r="59" spans="1:10" ht="14.45" x14ac:dyDescent="0.3">
      <c r="A59" s="80" t="s">
        <v>167</v>
      </c>
      <c r="B59" s="80"/>
      <c r="C59" s="80"/>
      <c r="D59" s="114">
        <v>0</v>
      </c>
      <c r="E59" s="114">
        <v>635</v>
      </c>
      <c r="F59" s="114">
        <v>2066</v>
      </c>
      <c r="G59" s="114">
        <v>6158</v>
      </c>
      <c r="H59" s="114">
        <v>4437</v>
      </c>
      <c r="I59" s="114">
        <v>4093</v>
      </c>
      <c r="J59" s="115">
        <f t="shared" si="0"/>
        <v>17389</v>
      </c>
    </row>
    <row r="60" spans="1:10" ht="14.45" x14ac:dyDescent="0.3">
      <c r="A60" s="80" t="s">
        <v>168</v>
      </c>
      <c r="B60" s="80"/>
      <c r="C60" s="80"/>
      <c r="D60" s="114">
        <v>0</v>
      </c>
      <c r="E60" s="114">
        <v>0</v>
      </c>
      <c r="F60" s="114">
        <v>2096</v>
      </c>
      <c r="G60" s="114">
        <v>1372</v>
      </c>
      <c r="H60" s="114">
        <v>1876</v>
      </c>
      <c r="I60" s="114">
        <v>1547</v>
      </c>
      <c r="J60" s="115">
        <f t="shared" si="0"/>
        <v>6891</v>
      </c>
    </row>
    <row r="61" spans="1:10" ht="14.45" x14ac:dyDescent="0.3">
      <c r="A61" s="80" t="s">
        <v>169</v>
      </c>
      <c r="B61" s="80"/>
      <c r="C61" s="80"/>
      <c r="D61" s="114">
        <v>745.99</v>
      </c>
      <c r="E61" s="114">
        <v>2312.09</v>
      </c>
      <c r="F61" s="114">
        <v>0</v>
      </c>
      <c r="G61" s="114">
        <v>0</v>
      </c>
      <c r="H61" s="114">
        <v>0</v>
      </c>
      <c r="I61" s="114">
        <v>0</v>
      </c>
      <c r="J61" s="115">
        <f t="shared" si="0"/>
        <v>3058.08</v>
      </c>
    </row>
    <row r="62" spans="1:10" ht="14.45" x14ac:dyDescent="0.3">
      <c r="A62" s="80" t="s">
        <v>170</v>
      </c>
      <c r="B62" s="80"/>
      <c r="C62" s="80"/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5">
        <f t="shared" si="0"/>
        <v>0</v>
      </c>
    </row>
    <row r="63" spans="1:10" ht="14.45" x14ac:dyDescent="0.3">
      <c r="A63" s="80" t="s">
        <v>171</v>
      </c>
      <c r="B63" s="80"/>
      <c r="C63" s="80"/>
      <c r="D63" s="114">
        <v>360.41</v>
      </c>
      <c r="E63" s="114">
        <v>0</v>
      </c>
      <c r="F63" s="114">
        <v>0</v>
      </c>
      <c r="G63" s="114">
        <v>0</v>
      </c>
      <c r="H63" s="114">
        <v>576</v>
      </c>
      <c r="I63" s="114">
        <v>0</v>
      </c>
      <c r="J63" s="115">
        <f t="shared" si="0"/>
        <v>936.41000000000008</v>
      </c>
    </row>
    <row r="64" spans="1:10" ht="14.45" x14ac:dyDescent="0.3">
      <c r="A64" s="80" t="s">
        <v>172</v>
      </c>
      <c r="B64" s="80"/>
      <c r="C64" s="80"/>
      <c r="D64" s="114">
        <v>0</v>
      </c>
      <c r="E64" s="114">
        <v>8500</v>
      </c>
      <c r="F64" s="114">
        <v>14450</v>
      </c>
      <c r="G64" s="114">
        <v>0</v>
      </c>
      <c r="H64" s="114">
        <v>0</v>
      </c>
      <c r="I64" s="114">
        <v>0</v>
      </c>
      <c r="J64" s="115">
        <f t="shared" si="0"/>
        <v>22950</v>
      </c>
    </row>
    <row r="65" spans="1:10" ht="14.45" x14ac:dyDescent="0.3">
      <c r="A65" s="80" t="s">
        <v>173</v>
      </c>
      <c r="B65" s="80"/>
      <c r="C65" s="80"/>
      <c r="D65" s="114">
        <v>0</v>
      </c>
      <c r="E65" s="114">
        <v>0</v>
      </c>
      <c r="F65" s="114">
        <v>0</v>
      </c>
      <c r="G65" s="114">
        <v>0</v>
      </c>
      <c r="H65" s="114">
        <v>0</v>
      </c>
      <c r="I65" s="114">
        <v>0</v>
      </c>
      <c r="J65" s="115">
        <f t="shared" si="0"/>
        <v>0</v>
      </c>
    </row>
    <row r="66" spans="1:10" ht="14.45" x14ac:dyDescent="0.3">
      <c r="A66" s="80" t="s">
        <v>174</v>
      </c>
      <c r="B66" s="80"/>
      <c r="C66" s="80"/>
      <c r="D66" s="114">
        <v>0</v>
      </c>
      <c r="E66" s="114">
        <v>2054.4899999999998</v>
      </c>
      <c r="F66" s="114">
        <v>412</v>
      </c>
      <c r="G66" s="114">
        <v>0</v>
      </c>
      <c r="H66" s="114">
        <v>0</v>
      </c>
      <c r="I66" s="114">
        <v>0</v>
      </c>
      <c r="J66" s="115">
        <f t="shared" ref="J66:J97" si="1">SUM(D66:I66)</f>
        <v>2466.4899999999998</v>
      </c>
    </row>
    <row r="67" spans="1:10" ht="14.45" x14ac:dyDescent="0.3">
      <c r="A67" s="80" t="s">
        <v>175</v>
      </c>
      <c r="B67" s="80"/>
      <c r="C67" s="80"/>
      <c r="D67" s="114">
        <v>4323.68</v>
      </c>
      <c r="E67" s="114">
        <v>939.93</v>
      </c>
      <c r="F67" s="114">
        <v>0</v>
      </c>
      <c r="G67" s="114">
        <v>0</v>
      </c>
      <c r="H67" s="114">
        <v>0</v>
      </c>
      <c r="I67" s="114">
        <v>0</v>
      </c>
      <c r="J67" s="115">
        <f t="shared" si="1"/>
        <v>5263.6100000000006</v>
      </c>
    </row>
    <row r="68" spans="1:10" ht="14.45" x14ac:dyDescent="0.3">
      <c r="A68" s="80" t="s">
        <v>176</v>
      </c>
      <c r="B68" s="80"/>
      <c r="C68" s="80"/>
      <c r="D68" s="114">
        <v>0</v>
      </c>
      <c r="E68" s="114">
        <v>2125</v>
      </c>
      <c r="F68" s="114">
        <v>0</v>
      </c>
      <c r="G68" s="114">
        <v>1517</v>
      </c>
      <c r="H68" s="114">
        <v>2733</v>
      </c>
      <c r="I68" s="114">
        <v>0</v>
      </c>
      <c r="J68" s="115">
        <f t="shared" si="1"/>
        <v>6375</v>
      </c>
    </row>
    <row r="69" spans="1:10" ht="14.45" x14ac:dyDescent="0.3">
      <c r="A69" s="80" t="s">
        <v>177</v>
      </c>
      <c r="B69" s="80"/>
      <c r="C69" s="80"/>
      <c r="D69" s="114">
        <v>0</v>
      </c>
      <c r="E69" s="114">
        <v>0</v>
      </c>
      <c r="F69" s="114">
        <v>6000</v>
      </c>
      <c r="G69" s="114">
        <v>0</v>
      </c>
      <c r="H69" s="114">
        <v>0</v>
      </c>
      <c r="I69" s="114">
        <v>0</v>
      </c>
      <c r="J69" s="115">
        <f t="shared" si="1"/>
        <v>6000</v>
      </c>
    </row>
    <row r="70" spans="1:10" ht="14.45" x14ac:dyDescent="0.3">
      <c r="A70" s="80" t="s">
        <v>178</v>
      </c>
      <c r="B70" s="80"/>
      <c r="C70" s="80"/>
      <c r="D70" s="114">
        <v>0</v>
      </c>
      <c r="E70" s="114">
        <v>0</v>
      </c>
      <c r="F70" s="114">
        <v>0</v>
      </c>
      <c r="G70" s="114">
        <v>1033</v>
      </c>
      <c r="H70" s="114">
        <v>1101</v>
      </c>
      <c r="I70" s="114">
        <v>0</v>
      </c>
      <c r="J70" s="115">
        <f t="shared" si="1"/>
        <v>2134</v>
      </c>
    </row>
    <row r="71" spans="1:10" ht="14.45" x14ac:dyDescent="0.3">
      <c r="A71" s="80" t="s">
        <v>179</v>
      </c>
      <c r="B71" s="80"/>
      <c r="C71" s="80"/>
      <c r="D71" s="114">
        <v>0</v>
      </c>
      <c r="E71" s="114">
        <v>0</v>
      </c>
      <c r="F71" s="114">
        <v>0</v>
      </c>
      <c r="G71" s="114">
        <v>0</v>
      </c>
      <c r="H71" s="114">
        <v>0</v>
      </c>
      <c r="I71" s="114">
        <v>0</v>
      </c>
      <c r="J71" s="115">
        <f t="shared" si="1"/>
        <v>0</v>
      </c>
    </row>
    <row r="72" spans="1:10" ht="14.45" x14ac:dyDescent="0.3">
      <c r="A72" s="80" t="s">
        <v>180</v>
      </c>
      <c r="B72" s="80"/>
      <c r="C72" s="80"/>
      <c r="D72" s="114">
        <v>9.06</v>
      </c>
      <c r="E72" s="114">
        <v>4466.1899999999996</v>
      </c>
      <c r="F72" s="114">
        <v>0</v>
      </c>
      <c r="G72" s="114">
        <v>0</v>
      </c>
      <c r="H72" s="114">
        <v>0</v>
      </c>
      <c r="I72" s="114">
        <v>0</v>
      </c>
      <c r="J72" s="115">
        <f t="shared" si="1"/>
        <v>4475.25</v>
      </c>
    </row>
    <row r="73" spans="1:10" ht="14.45" x14ac:dyDescent="0.3">
      <c r="A73" s="80" t="s">
        <v>181</v>
      </c>
      <c r="B73" s="80"/>
      <c r="C73" s="80"/>
      <c r="D73" s="114">
        <v>8415</v>
      </c>
      <c r="E73" s="114">
        <v>6545</v>
      </c>
      <c r="F73" s="114">
        <v>6538</v>
      </c>
      <c r="G73" s="114">
        <v>0</v>
      </c>
      <c r="H73" s="114">
        <v>0</v>
      </c>
      <c r="I73" s="114">
        <v>0</v>
      </c>
      <c r="J73" s="115">
        <f t="shared" si="1"/>
        <v>21498</v>
      </c>
    </row>
    <row r="74" spans="1:10" ht="14.45" x14ac:dyDescent="0.3">
      <c r="A74" s="80" t="s">
        <v>182</v>
      </c>
      <c r="B74" s="80"/>
      <c r="C74" s="80"/>
      <c r="D74" s="114">
        <v>13125</v>
      </c>
      <c r="E74" s="114">
        <v>0</v>
      </c>
      <c r="F74" s="114">
        <v>0</v>
      </c>
      <c r="G74" s="114">
        <v>0</v>
      </c>
      <c r="H74" s="114">
        <v>0</v>
      </c>
      <c r="I74" s="114">
        <v>0</v>
      </c>
      <c r="J74" s="115">
        <f t="shared" si="1"/>
        <v>13125</v>
      </c>
    </row>
    <row r="75" spans="1:10" ht="14.45" x14ac:dyDescent="0.3">
      <c r="A75" s="80" t="s">
        <v>183</v>
      </c>
      <c r="B75" s="80"/>
      <c r="C75" s="80"/>
      <c r="D75" s="114">
        <v>83915</v>
      </c>
      <c r="E75" s="114">
        <v>51925</v>
      </c>
      <c r="F75" s="114">
        <v>65171</v>
      </c>
      <c r="G75" s="114">
        <v>93447</v>
      </c>
      <c r="H75" s="114">
        <v>77802</v>
      </c>
      <c r="I75" s="114">
        <v>54340</v>
      </c>
      <c r="J75" s="115">
        <f t="shared" si="1"/>
        <v>426600</v>
      </c>
    </row>
    <row r="76" spans="1:10" ht="14.45" x14ac:dyDescent="0.3">
      <c r="A76" s="80" t="s">
        <v>184</v>
      </c>
      <c r="B76" s="80"/>
      <c r="C76" s="80"/>
      <c r="D76" s="114">
        <v>0</v>
      </c>
      <c r="E76" s="114">
        <v>0</v>
      </c>
      <c r="F76" s="114">
        <v>0</v>
      </c>
      <c r="G76" s="114">
        <v>0</v>
      </c>
      <c r="H76" s="114">
        <v>0</v>
      </c>
      <c r="I76" s="114">
        <v>3416</v>
      </c>
      <c r="J76" s="115">
        <f t="shared" si="1"/>
        <v>3416</v>
      </c>
    </row>
    <row r="77" spans="1:10" ht="14.45" x14ac:dyDescent="0.3">
      <c r="A77" s="80" t="s">
        <v>185</v>
      </c>
      <c r="B77" s="80"/>
      <c r="C77" s="80"/>
      <c r="D77" s="114">
        <v>0</v>
      </c>
      <c r="E77" s="114">
        <v>0</v>
      </c>
      <c r="F77" s="114">
        <v>230</v>
      </c>
      <c r="G77" s="114">
        <v>3902</v>
      </c>
      <c r="H77" s="114">
        <v>3213</v>
      </c>
      <c r="I77" s="114">
        <v>0</v>
      </c>
      <c r="J77" s="115">
        <f t="shared" si="1"/>
        <v>7345</v>
      </c>
    </row>
    <row r="78" spans="1:10" ht="14.45" x14ac:dyDescent="0.3">
      <c r="A78" s="80" t="s">
        <v>186</v>
      </c>
      <c r="B78" s="80"/>
      <c r="C78" s="80"/>
      <c r="D78" s="114">
        <v>363.12</v>
      </c>
      <c r="E78" s="114">
        <v>0</v>
      </c>
      <c r="F78" s="114">
        <v>0</v>
      </c>
      <c r="G78" s="114">
        <v>192</v>
      </c>
      <c r="H78" s="114">
        <v>385</v>
      </c>
      <c r="I78" s="114">
        <v>361</v>
      </c>
      <c r="J78" s="115">
        <f t="shared" si="1"/>
        <v>1301.1199999999999</v>
      </c>
    </row>
    <row r="79" spans="1:10" ht="14.45" x14ac:dyDescent="0.3">
      <c r="A79" s="80" t="s">
        <v>187</v>
      </c>
      <c r="B79" s="80"/>
      <c r="C79" s="80"/>
      <c r="D79" s="114">
        <v>181.56</v>
      </c>
      <c r="E79" s="114">
        <v>102.25</v>
      </c>
      <c r="F79" s="114">
        <v>0</v>
      </c>
      <c r="G79" s="114">
        <v>0</v>
      </c>
      <c r="H79" s="114">
        <v>0</v>
      </c>
      <c r="I79" s="114">
        <v>0</v>
      </c>
      <c r="J79" s="115">
        <f t="shared" si="1"/>
        <v>283.81</v>
      </c>
    </row>
    <row r="80" spans="1:10" ht="14.45" x14ac:dyDescent="0.3">
      <c r="A80" s="80" t="s">
        <v>188</v>
      </c>
      <c r="B80" s="80"/>
      <c r="C80" s="80"/>
      <c r="D80" s="114">
        <v>0</v>
      </c>
      <c r="E80" s="114">
        <v>0</v>
      </c>
      <c r="F80" s="114">
        <v>0</v>
      </c>
      <c r="G80" s="114">
        <v>3171</v>
      </c>
      <c r="H80" s="114">
        <v>2566</v>
      </c>
      <c r="I80" s="114">
        <v>0</v>
      </c>
      <c r="J80" s="115">
        <f t="shared" si="1"/>
        <v>5737</v>
      </c>
    </row>
    <row r="81" spans="1:10" ht="14.45" x14ac:dyDescent="0.3">
      <c r="A81" s="80" t="s">
        <v>189</v>
      </c>
      <c r="B81" s="80"/>
      <c r="C81" s="80"/>
      <c r="D81" s="114">
        <v>2705.01</v>
      </c>
      <c r="E81" s="114">
        <v>0</v>
      </c>
      <c r="F81" s="114">
        <v>0</v>
      </c>
      <c r="G81" s="114">
        <v>0</v>
      </c>
      <c r="H81" s="114">
        <v>0</v>
      </c>
      <c r="I81" s="114">
        <v>0</v>
      </c>
      <c r="J81" s="115">
        <f t="shared" si="1"/>
        <v>2705.01</v>
      </c>
    </row>
    <row r="82" spans="1:10" ht="14.45" x14ac:dyDescent="0.3">
      <c r="A82" s="80" t="s">
        <v>190</v>
      </c>
      <c r="B82" s="80"/>
      <c r="C82" s="80"/>
      <c r="D82" s="114">
        <v>0</v>
      </c>
      <c r="E82" s="114">
        <v>0</v>
      </c>
      <c r="F82" s="114">
        <v>0</v>
      </c>
      <c r="G82" s="114">
        <v>187</v>
      </c>
      <c r="H82" s="114">
        <v>191</v>
      </c>
      <c r="I82" s="114">
        <v>56</v>
      </c>
      <c r="J82" s="115">
        <f t="shared" si="1"/>
        <v>434</v>
      </c>
    </row>
    <row r="83" spans="1:10" ht="14.45" x14ac:dyDescent="0.3">
      <c r="A83" s="80" t="s">
        <v>191</v>
      </c>
      <c r="B83" s="80"/>
      <c r="C83" s="80"/>
      <c r="D83" s="114">
        <v>0</v>
      </c>
      <c r="E83" s="114">
        <v>0</v>
      </c>
      <c r="F83" s="114">
        <v>500</v>
      </c>
      <c r="G83" s="114">
        <v>0</v>
      </c>
      <c r="H83" s="114">
        <v>0</v>
      </c>
      <c r="I83" s="114">
        <v>0</v>
      </c>
      <c r="J83" s="115">
        <f t="shared" si="1"/>
        <v>500</v>
      </c>
    </row>
    <row r="84" spans="1:10" ht="14.45" x14ac:dyDescent="0.3">
      <c r="A84" s="80" t="s">
        <v>192</v>
      </c>
      <c r="B84" s="80"/>
      <c r="C84" s="80"/>
      <c r="D84" s="114">
        <v>0</v>
      </c>
      <c r="E84" s="114">
        <v>0</v>
      </c>
      <c r="F84" s="114">
        <v>0</v>
      </c>
      <c r="G84" s="114">
        <v>4016</v>
      </c>
      <c r="H84" s="114">
        <v>574</v>
      </c>
      <c r="I84" s="114">
        <v>0</v>
      </c>
      <c r="J84" s="115">
        <f t="shared" si="1"/>
        <v>4590</v>
      </c>
    </row>
    <row r="85" spans="1:10" ht="14.45" x14ac:dyDescent="0.3">
      <c r="A85" s="80" t="s">
        <v>193</v>
      </c>
      <c r="B85" s="80"/>
      <c r="C85" s="80"/>
      <c r="D85" s="114">
        <v>8850</v>
      </c>
      <c r="E85" s="114">
        <v>531</v>
      </c>
      <c r="F85" s="114">
        <v>0</v>
      </c>
      <c r="G85" s="114">
        <v>0</v>
      </c>
      <c r="H85" s="114">
        <v>0</v>
      </c>
      <c r="I85" s="114">
        <v>0</v>
      </c>
      <c r="J85" s="115">
        <f t="shared" si="1"/>
        <v>9381</v>
      </c>
    </row>
    <row r="86" spans="1:10" ht="14.45" x14ac:dyDescent="0.3">
      <c r="A86" s="80" t="s">
        <v>194</v>
      </c>
      <c r="B86" s="80"/>
      <c r="C86" s="80"/>
      <c r="D86" s="114">
        <v>2508.1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5">
        <f t="shared" si="1"/>
        <v>2508.1</v>
      </c>
    </row>
    <row r="87" spans="1:10" ht="14.45" x14ac:dyDescent="0.3">
      <c r="A87" s="80" t="s">
        <v>195</v>
      </c>
      <c r="B87" s="80"/>
      <c r="C87" s="80"/>
      <c r="D87" s="114">
        <v>0</v>
      </c>
      <c r="E87" s="114">
        <v>854.22</v>
      </c>
      <c r="F87" s="114">
        <v>2892</v>
      </c>
      <c r="G87" s="114">
        <v>4505</v>
      </c>
      <c r="H87" s="114">
        <v>1257</v>
      </c>
      <c r="I87" s="114">
        <v>2695</v>
      </c>
      <c r="J87" s="115">
        <f t="shared" si="1"/>
        <v>12203.220000000001</v>
      </c>
    </row>
    <row r="88" spans="1:10" ht="14.45" x14ac:dyDescent="0.3">
      <c r="A88" s="80" t="s">
        <v>196</v>
      </c>
      <c r="B88" s="80"/>
      <c r="C88" s="80"/>
      <c r="D88" s="114">
        <v>0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5">
        <f t="shared" si="1"/>
        <v>0</v>
      </c>
    </row>
    <row r="89" spans="1:10" ht="14.45" x14ac:dyDescent="0.3">
      <c r="A89" s="80" t="s">
        <v>197</v>
      </c>
      <c r="B89" s="80"/>
      <c r="C89" s="80"/>
      <c r="D89" s="114">
        <v>0</v>
      </c>
      <c r="E89" s="114">
        <v>0</v>
      </c>
      <c r="F89" s="114">
        <v>0</v>
      </c>
      <c r="G89" s="114">
        <v>0</v>
      </c>
      <c r="H89" s="114">
        <v>2040</v>
      </c>
      <c r="I89" s="114">
        <v>8941</v>
      </c>
      <c r="J89" s="115">
        <f t="shared" si="1"/>
        <v>10981</v>
      </c>
    </row>
    <row r="90" spans="1:10" ht="14.45" x14ac:dyDescent="0.3">
      <c r="A90" s="80" t="s">
        <v>198</v>
      </c>
      <c r="B90" s="80"/>
      <c r="C90" s="80"/>
      <c r="D90" s="114">
        <v>3240</v>
      </c>
      <c r="E90" s="114">
        <v>1620</v>
      </c>
      <c r="F90" s="114">
        <v>0</v>
      </c>
      <c r="G90" s="114">
        <v>0</v>
      </c>
      <c r="H90" s="114">
        <v>0</v>
      </c>
      <c r="I90" s="114">
        <v>0</v>
      </c>
      <c r="J90" s="115">
        <f t="shared" si="1"/>
        <v>4860</v>
      </c>
    </row>
    <row r="91" spans="1:10" ht="14.45" x14ac:dyDescent="0.3">
      <c r="A91" s="80" t="s">
        <v>199</v>
      </c>
      <c r="B91" s="80"/>
      <c r="C91" s="80"/>
      <c r="D91" s="114">
        <v>0</v>
      </c>
      <c r="E91" s="114">
        <v>0</v>
      </c>
      <c r="F91" s="114">
        <v>0</v>
      </c>
      <c r="G91" s="114">
        <v>0</v>
      </c>
      <c r="H91" s="114">
        <v>1105</v>
      </c>
      <c r="I91" s="114">
        <v>2169</v>
      </c>
      <c r="J91" s="115">
        <f t="shared" si="1"/>
        <v>3274</v>
      </c>
    </row>
    <row r="92" spans="1:10" ht="14.45" x14ac:dyDescent="0.3">
      <c r="A92" s="80" t="s">
        <v>200</v>
      </c>
      <c r="B92" s="80"/>
      <c r="C92" s="80"/>
      <c r="D92" s="114">
        <v>0</v>
      </c>
      <c r="E92" s="114">
        <v>0</v>
      </c>
      <c r="F92" s="114">
        <v>0</v>
      </c>
      <c r="G92" s="114">
        <v>0</v>
      </c>
      <c r="H92" s="114">
        <v>6900</v>
      </c>
      <c r="I92" s="114">
        <v>6825</v>
      </c>
      <c r="J92" s="115">
        <f t="shared" si="1"/>
        <v>13725</v>
      </c>
    </row>
    <row r="93" spans="1:10" ht="14.45" x14ac:dyDescent="0.3">
      <c r="A93" s="80" t="s">
        <v>201</v>
      </c>
      <c r="B93" s="80"/>
      <c r="C93" s="80"/>
      <c r="D93" s="114">
        <v>0</v>
      </c>
      <c r="E93" s="114">
        <v>22752.639999999999</v>
      </c>
      <c r="F93" s="114">
        <v>33880</v>
      </c>
      <c r="G93" s="114">
        <v>30884</v>
      </c>
      <c r="H93" s="114">
        <v>5129</v>
      </c>
      <c r="I93" s="114">
        <v>5100</v>
      </c>
      <c r="J93" s="115">
        <f t="shared" si="1"/>
        <v>97745.64</v>
      </c>
    </row>
    <row r="94" spans="1:10" ht="14.45" x14ac:dyDescent="0.3">
      <c r="A94" s="80" t="s">
        <v>202</v>
      </c>
      <c r="B94" s="80"/>
      <c r="C94" s="80"/>
      <c r="D94" s="114">
        <v>0</v>
      </c>
      <c r="E94" s="114">
        <v>0</v>
      </c>
      <c r="F94" s="114">
        <v>63</v>
      </c>
      <c r="G94" s="114">
        <v>0</v>
      </c>
      <c r="H94" s="114">
        <v>0</v>
      </c>
      <c r="I94" s="114">
        <v>0</v>
      </c>
      <c r="J94" s="115">
        <f t="shared" si="1"/>
        <v>63</v>
      </c>
    </row>
    <row r="95" spans="1:10" ht="14.45" x14ac:dyDescent="0.3">
      <c r="A95" s="80" t="s">
        <v>203</v>
      </c>
      <c r="B95" s="80"/>
      <c r="C95" s="80"/>
      <c r="D95" s="114">
        <v>0</v>
      </c>
      <c r="E95" s="114">
        <v>0</v>
      </c>
      <c r="F95" s="114">
        <v>0</v>
      </c>
      <c r="G95" s="114">
        <v>9950</v>
      </c>
      <c r="H95" s="114">
        <v>11050</v>
      </c>
      <c r="I95" s="114">
        <v>10500</v>
      </c>
      <c r="J95" s="115">
        <f t="shared" si="1"/>
        <v>31500</v>
      </c>
    </row>
    <row r="96" spans="1:10" ht="14.45" x14ac:dyDescent="0.3">
      <c r="A96" s="80" t="s">
        <v>204</v>
      </c>
      <c r="B96" s="80"/>
      <c r="C96" s="80"/>
      <c r="D96" s="114">
        <v>0</v>
      </c>
      <c r="E96" s="114">
        <v>0</v>
      </c>
      <c r="F96" s="114">
        <v>0</v>
      </c>
      <c r="G96" s="114">
        <v>0</v>
      </c>
      <c r="H96" s="114">
        <v>1381</v>
      </c>
      <c r="I96" s="114">
        <v>2762</v>
      </c>
      <c r="J96" s="115">
        <f t="shared" si="1"/>
        <v>4143</v>
      </c>
    </row>
    <row r="97" spans="1:10" ht="14.45" x14ac:dyDescent="0.3">
      <c r="A97" s="80" t="s">
        <v>205</v>
      </c>
      <c r="B97" s="80"/>
      <c r="C97" s="80"/>
      <c r="D97" s="114">
        <v>640</v>
      </c>
      <c r="E97" s="114">
        <v>640</v>
      </c>
      <c r="F97" s="114">
        <v>800</v>
      </c>
      <c r="G97" s="114">
        <v>640</v>
      </c>
      <c r="H97" s="114">
        <v>800</v>
      </c>
      <c r="I97" s="114">
        <v>80</v>
      </c>
      <c r="J97" s="115">
        <f t="shared" si="1"/>
        <v>3600</v>
      </c>
    </row>
    <row r="98" spans="1:10" s="47" customFormat="1" ht="14.45" x14ac:dyDescent="0.3">
      <c r="A98" s="86" t="s">
        <v>269</v>
      </c>
      <c r="B98" s="86"/>
      <c r="C98" s="86"/>
      <c r="D98" s="116">
        <f>SUM(D2:D97)</f>
        <v>204300.03</v>
      </c>
      <c r="E98" s="116">
        <f t="shared" ref="E98:I98" si="2">SUM(E2:E97)</f>
        <v>169959.99</v>
      </c>
      <c r="F98" s="116">
        <f t="shared" si="2"/>
        <v>246024</v>
      </c>
      <c r="G98" s="116">
        <f t="shared" si="2"/>
        <v>251804</v>
      </c>
      <c r="H98" s="116">
        <f t="shared" si="2"/>
        <v>246443</v>
      </c>
      <c r="I98" s="116">
        <f t="shared" si="2"/>
        <v>183918</v>
      </c>
      <c r="J98" s="117">
        <f>SUM(J2:J97)</f>
        <v>1302449.02</v>
      </c>
    </row>
    <row r="99" spans="1:10" ht="14.45" x14ac:dyDescent="0.3">
      <c r="A99" s="81"/>
      <c r="B99" s="81"/>
      <c r="C99" s="81"/>
      <c r="D99" s="90"/>
      <c r="E99" s="90"/>
      <c r="F99" s="90"/>
      <c r="G99" s="90"/>
      <c r="H99" s="90"/>
      <c r="I99" s="90"/>
      <c r="J99" s="90"/>
    </row>
    <row r="100" spans="1:10" ht="14.45" x14ac:dyDescent="0.3">
      <c r="A100" s="82" t="s">
        <v>206</v>
      </c>
      <c r="B100" s="82"/>
      <c r="C100" s="82"/>
      <c r="D100" s="90"/>
      <c r="E100" s="90"/>
      <c r="F100" s="90"/>
      <c r="G100" s="90"/>
      <c r="H100" s="90"/>
      <c r="I100" s="90"/>
      <c r="J100" s="90"/>
    </row>
    <row r="101" spans="1:10" ht="14.45" x14ac:dyDescent="0.3">
      <c r="A101" s="83" t="s">
        <v>118</v>
      </c>
      <c r="B101" s="83"/>
      <c r="C101" s="83"/>
      <c r="D101" s="114">
        <v>2062.5</v>
      </c>
      <c r="E101" s="114">
        <v>1650</v>
      </c>
      <c r="F101" s="114">
        <v>2063</v>
      </c>
      <c r="G101" s="114">
        <v>1650</v>
      </c>
      <c r="H101" s="114">
        <v>1650</v>
      </c>
      <c r="I101" s="114">
        <v>1650</v>
      </c>
      <c r="J101" s="115">
        <f t="shared" ref="J101:J108" si="3">SUM(D101:I101)</f>
        <v>10725.5</v>
      </c>
    </row>
    <row r="102" spans="1:10" ht="14.45" x14ac:dyDescent="0.3">
      <c r="A102" s="80" t="s">
        <v>128</v>
      </c>
      <c r="B102" s="80"/>
      <c r="C102" s="80"/>
      <c r="D102" s="114">
        <v>0</v>
      </c>
      <c r="E102" s="114">
        <v>0</v>
      </c>
      <c r="F102" s="114">
        <v>3091</v>
      </c>
      <c r="G102" s="114">
        <v>0</v>
      </c>
      <c r="H102" s="114">
        <v>0</v>
      </c>
      <c r="I102" s="114">
        <v>0</v>
      </c>
      <c r="J102" s="115">
        <f t="shared" si="3"/>
        <v>3091</v>
      </c>
    </row>
    <row r="103" spans="1:10" ht="14.45" x14ac:dyDescent="0.3">
      <c r="A103" s="80" t="s">
        <v>145</v>
      </c>
      <c r="B103" s="80"/>
      <c r="C103" s="80"/>
      <c r="D103" s="114">
        <v>3750</v>
      </c>
      <c r="E103" s="114">
        <v>5000</v>
      </c>
      <c r="F103" s="114">
        <v>6250</v>
      </c>
      <c r="G103" s="114">
        <v>2500</v>
      </c>
      <c r="H103" s="114">
        <v>0</v>
      </c>
      <c r="I103" s="114">
        <v>0</v>
      </c>
      <c r="J103" s="115">
        <f t="shared" si="3"/>
        <v>17500</v>
      </c>
    </row>
    <row r="104" spans="1:10" ht="14.45" x14ac:dyDescent="0.3">
      <c r="A104" s="80" t="s">
        <v>150</v>
      </c>
      <c r="B104" s="80"/>
      <c r="C104" s="80"/>
      <c r="D104" s="114">
        <v>3551.42</v>
      </c>
      <c r="E104" s="114">
        <v>3147.01</v>
      </c>
      <c r="F104" s="114">
        <v>1701</v>
      </c>
      <c r="G104" s="114">
        <v>1701</v>
      </c>
      <c r="H104" s="114">
        <v>1701</v>
      </c>
      <c r="I104" s="114">
        <v>1701</v>
      </c>
      <c r="J104" s="115">
        <f t="shared" si="3"/>
        <v>13502.43</v>
      </c>
    </row>
    <row r="105" spans="1:10" ht="14.45" x14ac:dyDescent="0.3">
      <c r="A105" s="80" t="s">
        <v>156</v>
      </c>
      <c r="B105" s="80"/>
      <c r="C105" s="80"/>
      <c r="D105" s="114">
        <v>1285.72</v>
      </c>
      <c r="E105" s="114">
        <v>0</v>
      </c>
      <c r="F105" s="114">
        <v>2000</v>
      </c>
      <c r="G105" s="114">
        <v>2500</v>
      </c>
      <c r="H105" s="114">
        <v>2000</v>
      </c>
      <c r="I105" s="114">
        <v>2000</v>
      </c>
      <c r="J105" s="115">
        <f t="shared" si="3"/>
        <v>9785.7200000000012</v>
      </c>
    </row>
    <row r="106" spans="1:10" s="46" customFormat="1" ht="14.45" x14ac:dyDescent="0.3">
      <c r="A106" s="80" t="s">
        <v>274</v>
      </c>
      <c r="B106" s="80"/>
      <c r="C106" s="80"/>
      <c r="D106" s="114">
        <v>0</v>
      </c>
      <c r="E106" s="114">
        <v>0</v>
      </c>
      <c r="F106" s="114">
        <v>0</v>
      </c>
      <c r="G106" s="114">
        <v>9950</v>
      </c>
      <c r="H106" s="114">
        <v>11050</v>
      </c>
      <c r="I106" s="114">
        <v>10500</v>
      </c>
      <c r="J106" s="115">
        <f t="shared" si="3"/>
        <v>31500</v>
      </c>
    </row>
    <row r="107" spans="1:10" ht="14.45" x14ac:dyDescent="0.3">
      <c r="A107" s="80" t="s">
        <v>135</v>
      </c>
      <c r="B107" s="80"/>
      <c r="C107" s="80"/>
      <c r="D107" s="114">
        <v>0</v>
      </c>
      <c r="E107" s="114">
        <v>0</v>
      </c>
      <c r="F107" s="114">
        <v>3825</v>
      </c>
      <c r="G107" s="114">
        <v>4781</v>
      </c>
      <c r="H107" s="114">
        <v>0</v>
      </c>
      <c r="I107" s="114">
        <v>0</v>
      </c>
      <c r="J107" s="115">
        <f t="shared" si="3"/>
        <v>8606</v>
      </c>
    </row>
    <row r="108" spans="1:10" ht="14.45" x14ac:dyDescent="0.3">
      <c r="A108" s="80" t="s">
        <v>163</v>
      </c>
      <c r="B108" s="80"/>
      <c r="C108" s="80"/>
      <c r="D108" s="118">
        <v>0</v>
      </c>
      <c r="E108" s="118">
        <v>0</v>
      </c>
      <c r="F108" s="118">
        <v>0</v>
      </c>
      <c r="G108" s="118">
        <v>2000</v>
      </c>
      <c r="H108" s="118">
        <v>2500</v>
      </c>
      <c r="I108" s="118">
        <v>2000</v>
      </c>
      <c r="J108" s="119">
        <f t="shared" si="3"/>
        <v>6500</v>
      </c>
    </row>
    <row r="109" spans="1:10" ht="14.45" x14ac:dyDescent="0.3">
      <c r="A109" s="84" t="s">
        <v>207</v>
      </c>
      <c r="B109" s="85"/>
      <c r="C109" s="85"/>
      <c r="D109" s="120">
        <f t="shared" ref="D109:J109" si="4">SUM(D101:D108)</f>
        <v>10649.64</v>
      </c>
      <c r="E109" s="120">
        <f t="shared" si="4"/>
        <v>9797.01</v>
      </c>
      <c r="F109" s="120">
        <f t="shared" si="4"/>
        <v>18930</v>
      </c>
      <c r="G109" s="120">
        <f t="shared" si="4"/>
        <v>25082</v>
      </c>
      <c r="H109" s="120">
        <f t="shared" si="4"/>
        <v>18901</v>
      </c>
      <c r="I109" s="120">
        <f t="shared" si="4"/>
        <v>17851</v>
      </c>
      <c r="J109" s="120">
        <f t="shared" si="4"/>
        <v>101210.65</v>
      </c>
    </row>
    <row r="110" spans="1:10" ht="14.45" x14ac:dyDescent="0.3">
      <c r="A110" s="81"/>
      <c r="B110" s="81"/>
      <c r="C110" s="81"/>
      <c r="D110" s="90"/>
      <c r="E110" s="90"/>
      <c r="F110" s="90"/>
      <c r="G110" s="90"/>
      <c r="H110" s="90"/>
      <c r="I110" s="90"/>
      <c r="J110" s="90"/>
    </row>
    <row r="111" spans="1:10" ht="14.45" x14ac:dyDescent="0.3">
      <c r="A111" s="82" t="s">
        <v>208</v>
      </c>
      <c r="B111" s="82"/>
      <c r="C111" s="82"/>
      <c r="D111" s="90"/>
      <c r="E111" s="90"/>
      <c r="F111" s="90"/>
      <c r="G111" s="90"/>
      <c r="H111" s="90"/>
      <c r="I111" s="90"/>
      <c r="J111" s="90"/>
    </row>
    <row r="112" spans="1:10" ht="14.45" x14ac:dyDescent="0.3">
      <c r="A112" s="83" t="s">
        <v>183</v>
      </c>
      <c r="B112" s="83"/>
      <c r="C112" s="83"/>
      <c r="D112" s="114">
        <v>83915</v>
      </c>
      <c r="E112" s="114">
        <v>51925</v>
      </c>
      <c r="F112" s="114">
        <v>65171</v>
      </c>
      <c r="G112" s="114">
        <v>93447</v>
      </c>
      <c r="H112" s="114">
        <v>77802</v>
      </c>
      <c r="I112" s="114">
        <v>54340</v>
      </c>
      <c r="J112" s="115">
        <f t="shared" ref="J112:J113" si="5">SUM(D112:I112)</f>
        <v>426600</v>
      </c>
    </row>
    <row r="113" spans="1:10" ht="14.45" x14ac:dyDescent="0.3">
      <c r="A113" s="80" t="s">
        <v>184</v>
      </c>
      <c r="B113" s="80"/>
      <c r="C113" s="80"/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118">
        <v>3416</v>
      </c>
      <c r="J113" s="119">
        <f t="shared" si="5"/>
        <v>3416</v>
      </c>
    </row>
    <row r="114" spans="1:10" ht="14.45" x14ac:dyDescent="0.3">
      <c r="A114" s="87" t="s">
        <v>209</v>
      </c>
      <c r="B114" s="87"/>
      <c r="C114" s="87"/>
      <c r="D114" s="120">
        <f t="shared" ref="D114:I114" si="6">D112+D113</f>
        <v>83915</v>
      </c>
      <c r="E114" s="120">
        <f t="shared" si="6"/>
        <v>51925</v>
      </c>
      <c r="F114" s="120">
        <f t="shared" si="6"/>
        <v>65171</v>
      </c>
      <c r="G114" s="120">
        <f t="shared" si="6"/>
        <v>93447</v>
      </c>
      <c r="H114" s="120">
        <f t="shared" si="6"/>
        <v>77802</v>
      </c>
      <c r="I114" s="120">
        <f t="shared" si="6"/>
        <v>57756</v>
      </c>
      <c r="J114" s="120">
        <f>J112+J113</f>
        <v>430016</v>
      </c>
    </row>
    <row r="115" spans="1:10" ht="14.45" x14ac:dyDescent="0.3">
      <c r="A115" s="81"/>
      <c r="B115" s="81"/>
      <c r="C115" s="81"/>
      <c r="D115" s="90"/>
      <c r="E115" s="90"/>
      <c r="F115" s="90"/>
      <c r="G115" s="90"/>
      <c r="H115" s="90"/>
      <c r="I115" s="90"/>
      <c r="J115" s="90"/>
    </row>
    <row r="116" spans="1:10" ht="14.45" x14ac:dyDescent="0.3">
      <c r="A116" s="86" t="s">
        <v>210</v>
      </c>
      <c r="B116" s="86"/>
      <c r="C116" s="86"/>
      <c r="D116" s="90"/>
      <c r="E116" s="90"/>
      <c r="F116" s="90"/>
      <c r="G116" s="90"/>
      <c r="H116" s="90"/>
      <c r="I116" s="90"/>
      <c r="J116" s="90"/>
    </row>
    <row r="117" spans="1:10" s="46" customFormat="1" ht="14.45" x14ac:dyDescent="0.3">
      <c r="A117" s="86"/>
      <c r="B117" s="86"/>
      <c r="C117" s="86"/>
      <c r="D117" s="90"/>
      <c r="E117" s="90"/>
      <c r="F117" s="90"/>
      <c r="G117" s="90"/>
      <c r="H117" s="90"/>
      <c r="I117" s="90"/>
      <c r="J117" s="90"/>
    </row>
    <row r="118" spans="1:10" s="46" customFormat="1" ht="14.45" x14ac:dyDescent="0.3">
      <c r="A118" s="113" t="s">
        <v>270</v>
      </c>
      <c r="B118" s="86"/>
      <c r="C118" s="86"/>
      <c r="D118" s="90"/>
      <c r="E118" s="90"/>
      <c r="F118" s="90"/>
      <c r="G118" s="90"/>
      <c r="H118" s="90"/>
      <c r="I118" s="90"/>
      <c r="J118" s="90"/>
    </row>
    <row r="119" spans="1:10" ht="14.45" x14ac:dyDescent="0.3">
      <c r="A119" s="81"/>
      <c r="B119" s="81" t="s">
        <v>244</v>
      </c>
      <c r="D119" s="90">
        <f t="shared" ref="D119:J119" si="7">D98</f>
        <v>204300.03</v>
      </c>
      <c r="E119" s="90">
        <f t="shared" si="7"/>
        <v>169959.99</v>
      </c>
      <c r="F119" s="90">
        <f t="shared" si="7"/>
        <v>246024</v>
      </c>
      <c r="G119" s="90">
        <f t="shared" si="7"/>
        <v>251804</v>
      </c>
      <c r="H119" s="90">
        <f t="shared" si="7"/>
        <v>246443</v>
      </c>
      <c r="I119" s="90">
        <f t="shared" si="7"/>
        <v>183918</v>
      </c>
      <c r="J119" s="90">
        <f t="shared" si="7"/>
        <v>1302449.02</v>
      </c>
    </row>
    <row r="120" spans="1:10" s="46" customFormat="1" ht="14.45" x14ac:dyDescent="0.3">
      <c r="A120" s="81"/>
      <c r="B120" s="81" t="s">
        <v>245</v>
      </c>
      <c r="D120" s="121">
        <f>D119-D109</f>
        <v>193650.39</v>
      </c>
      <c r="E120" s="121">
        <f t="shared" ref="E120:J120" si="8">E119-E109</f>
        <v>160162.97999999998</v>
      </c>
      <c r="F120" s="121">
        <f t="shared" si="8"/>
        <v>227094</v>
      </c>
      <c r="G120" s="121">
        <f t="shared" si="8"/>
        <v>226722</v>
      </c>
      <c r="H120" s="121">
        <f t="shared" si="8"/>
        <v>227542</v>
      </c>
      <c r="I120" s="121">
        <f t="shared" si="8"/>
        <v>166067</v>
      </c>
      <c r="J120" s="121">
        <f t="shared" si="8"/>
        <v>1201238.3700000001</v>
      </c>
    </row>
    <row r="121" spans="1:10" s="46" customFormat="1" ht="14.45" x14ac:dyDescent="0.3">
      <c r="A121" s="81"/>
      <c r="B121" s="81" t="s">
        <v>247</v>
      </c>
      <c r="D121" s="121">
        <f>D120-D114</f>
        <v>109735.39000000001</v>
      </c>
      <c r="E121" s="121">
        <f t="shared" ref="E121:J121" si="9">E120-E114</f>
        <v>108237.97999999998</v>
      </c>
      <c r="F121" s="121">
        <f t="shared" si="9"/>
        <v>161923</v>
      </c>
      <c r="G121" s="121">
        <f t="shared" si="9"/>
        <v>133275</v>
      </c>
      <c r="H121" s="121">
        <f t="shared" si="9"/>
        <v>149740</v>
      </c>
      <c r="I121" s="121">
        <f t="shared" si="9"/>
        <v>108311</v>
      </c>
      <c r="J121" s="121">
        <f t="shared" si="9"/>
        <v>771222.37000000011</v>
      </c>
    </row>
    <row r="122" spans="1:10" s="46" customFormat="1" ht="14.45" x14ac:dyDescent="0.3">
      <c r="A122" s="81"/>
      <c r="B122" s="88">
        <f>0.05</f>
        <v>0.05</v>
      </c>
      <c r="C122" s="81" t="s">
        <v>246</v>
      </c>
      <c r="D122" s="90">
        <f t="shared" ref="D122:J122" si="10">D121*$B$122</f>
        <v>5486.7695000000012</v>
      </c>
      <c r="E122" s="90">
        <f t="shared" si="10"/>
        <v>5411.8989999999994</v>
      </c>
      <c r="F122" s="90">
        <f t="shared" si="10"/>
        <v>8096.1500000000005</v>
      </c>
      <c r="G122" s="90">
        <f t="shared" si="10"/>
        <v>6663.75</v>
      </c>
      <c r="H122" s="90">
        <f t="shared" si="10"/>
        <v>7487</v>
      </c>
      <c r="I122" s="90">
        <f t="shared" si="10"/>
        <v>5415.55</v>
      </c>
      <c r="J122" s="90">
        <f t="shared" si="10"/>
        <v>38561.118500000004</v>
      </c>
    </row>
    <row r="123" spans="1:10" s="46" customFormat="1" ht="14.45" x14ac:dyDescent="0.3">
      <c r="A123" s="81" t="s">
        <v>271</v>
      </c>
      <c r="C123" s="81"/>
      <c r="D123" s="90">
        <f>D121-D122</f>
        <v>104248.62050000002</v>
      </c>
      <c r="E123" s="90">
        <f t="shared" ref="E123:J123" si="11">E121-E122</f>
        <v>102826.08099999998</v>
      </c>
      <c r="F123" s="90">
        <f t="shared" si="11"/>
        <v>153826.85</v>
      </c>
      <c r="G123" s="90">
        <f t="shared" si="11"/>
        <v>126611.25</v>
      </c>
      <c r="H123" s="90">
        <f t="shared" si="11"/>
        <v>142253</v>
      </c>
      <c r="I123" s="90">
        <f t="shared" si="11"/>
        <v>102895.45</v>
      </c>
      <c r="J123" s="90">
        <f t="shared" si="11"/>
        <v>732661.25150000013</v>
      </c>
    </row>
    <row r="124" spans="1:10" s="46" customFormat="1" ht="14.45" x14ac:dyDescent="0.3">
      <c r="A124" s="81"/>
      <c r="B124" s="81"/>
      <c r="C124" s="81"/>
      <c r="D124" s="90"/>
      <c r="E124" s="90"/>
      <c r="F124" s="90"/>
      <c r="G124" s="90"/>
      <c r="H124" s="90"/>
      <c r="I124" s="90"/>
      <c r="J124" s="90"/>
    </row>
    <row r="125" spans="1:10" s="46" customFormat="1" ht="14.45" x14ac:dyDescent="0.3">
      <c r="A125" s="81" t="s">
        <v>272</v>
      </c>
      <c r="B125" s="81"/>
      <c r="C125" s="81"/>
      <c r="D125" s="90"/>
      <c r="E125" s="90"/>
      <c r="F125" s="90"/>
      <c r="G125" s="90"/>
      <c r="H125" s="90"/>
      <c r="I125" s="90"/>
      <c r="J125" s="90"/>
    </row>
    <row r="126" spans="1:10" ht="14.45" x14ac:dyDescent="0.3">
      <c r="B126" s="81" t="s">
        <v>248</v>
      </c>
      <c r="C126" s="81"/>
      <c r="D126" s="90">
        <f>D123</f>
        <v>104248.62050000002</v>
      </c>
      <c r="E126" s="90">
        <f t="shared" ref="E126:J126" si="12">E123</f>
        <v>102826.08099999998</v>
      </c>
      <c r="F126" s="90">
        <f t="shared" si="12"/>
        <v>153826.85</v>
      </c>
      <c r="G126" s="90">
        <f t="shared" si="12"/>
        <v>126611.25</v>
      </c>
      <c r="H126" s="90">
        <f t="shared" si="12"/>
        <v>142253</v>
      </c>
      <c r="I126" s="90">
        <f t="shared" si="12"/>
        <v>102895.45</v>
      </c>
      <c r="J126" s="90">
        <f t="shared" si="12"/>
        <v>732661.25150000013</v>
      </c>
    </row>
    <row r="127" spans="1:10" ht="14.45" x14ac:dyDescent="0.3">
      <c r="B127" s="81" t="s">
        <v>249</v>
      </c>
      <c r="C127" s="81"/>
      <c r="D127" s="90">
        <f t="shared" ref="D127:J127" si="13">D114</f>
        <v>83915</v>
      </c>
      <c r="E127" s="90">
        <f t="shared" si="13"/>
        <v>51925</v>
      </c>
      <c r="F127" s="90">
        <f t="shared" si="13"/>
        <v>65171</v>
      </c>
      <c r="G127" s="90">
        <f t="shared" si="13"/>
        <v>93447</v>
      </c>
      <c r="H127" s="90">
        <f t="shared" si="13"/>
        <v>77802</v>
      </c>
      <c r="I127" s="90">
        <f t="shared" si="13"/>
        <v>57756</v>
      </c>
      <c r="J127" s="90">
        <f t="shared" si="13"/>
        <v>430016</v>
      </c>
    </row>
    <row r="128" spans="1:10" ht="14.45" x14ac:dyDescent="0.3">
      <c r="A128" s="81"/>
      <c r="B128" s="81"/>
      <c r="C128" s="81"/>
      <c r="D128" s="90"/>
      <c r="E128" s="90"/>
      <c r="F128" s="90"/>
      <c r="G128" s="90"/>
      <c r="H128" s="90"/>
      <c r="I128" s="90"/>
      <c r="J128" s="90"/>
    </row>
    <row r="129" spans="1:10" ht="14.45" x14ac:dyDescent="0.3">
      <c r="A129" s="88">
        <f>SFRNA!E33</f>
        <v>0.25387374410331137</v>
      </c>
      <c r="B129" s="81"/>
      <c r="C129" s="81" t="s">
        <v>211</v>
      </c>
      <c r="D129" s="90">
        <f>$A$129*D126</f>
        <v>26465.987603940226</v>
      </c>
      <c r="E129" s="90">
        <f t="shared" ref="E129:J129" si="14">$A$129*E126</f>
        <v>26104.842174940361</v>
      </c>
      <c r="F129" s="90">
        <f t="shared" si="14"/>
        <v>39052.598353118461</v>
      </c>
      <c r="G129" s="90">
        <f t="shared" si="14"/>
        <v>32143.272083100383</v>
      </c>
      <c r="H129" s="90">
        <f t="shared" si="14"/>
        <v>36114.301719928349</v>
      </c>
      <c r="I129" s="90">
        <f t="shared" si="14"/>
        <v>26122.453142695071</v>
      </c>
      <c r="J129" s="90">
        <f t="shared" si="14"/>
        <v>186003.4550777229</v>
      </c>
    </row>
    <row r="130" spans="1:10" ht="14.45" x14ac:dyDescent="0.3">
      <c r="A130" s="88">
        <f>SFRNA!E34</f>
        <v>0.16</v>
      </c>
      <c r="B130" s="81"/>
      <c r="C130" s="81" t="s">
        <v>212</v>
      </c>
      <c r="D130" s="122">
        <f>D127*$A$130</f>
        <v>13426.4</v>
      </c>
      <c r="E130" s="122">
        <f t="shared" ref="E130:J130" si="15">E127*$A$130</f>
        <v>8308</v>
      </c>
      <c r="F130" s="122">
        <f t="shared" si="15"/>
        <v>10427.36</v>
      </c>
      <c r="G130" s="122">
        <f t="shared" si="15"/>
        <v>14951.52</v>
      </c>
      <c r="H130" s="122">
        <f t="shared" si="15"/>
        <v>12448.32</v>
      </c>
      <c r="I130" s="122">
        <f t="shared" si="15"/>
        <v>9240.9600000000009</v>
      </c>
      <c r="J130" s="122">
        <f t="shared" si="15"/>
        <v>68802.559999999998</v>
      </c>
    </row>
    <row r="131" spans="1:10" ht="14.45" x14ac:dyDescent="0.3">
      <c r="A131" s="86" t="s">
        <v>241</v>
      </c>
      <c r="B131" s="86"/>
      <c r="C131" s="86"/>
      <c r="D131" s="120">
        <f>D129+D130</f>
        <v>39892.387603940224</v>
      </c>
      <c r="E131" s="120">
        <f t="shared" ref="E131:J131" si="16">E129+E130</f>
        <v>34412.842174940364</v>
      </c>
      <c r="F131" s="120">
        <f t="shared" si="16"/>
        <v>49479.958353118462</v>
      </c>
      <c r="G131" s="120">
        <f t="shared" si="16"/>
        <v>47094.792083100387</v>
      </c>
      <c r="H131" s="120">
        <f t="shared" si="16"/>
        <v>48562.621719928349</v>
      </c>
      <c r="I131" s="120">
        <f t="shared" si="16"/>
        <v>35363.41314269507</v>
      </c>
      <c r="J131" s="120">
        <f t="shared" si="16"/>
        <v>254806.0150777229</v>
      </c>
    </row>
    <row r="132" spans="1:10" ht="14.45" x14ac:dyDescent="0.3">
      <c r="D132" s="102"/>
      <c r="E132" s="102"/>
      <c r="F132" s="102"/>
      <c r="G132" s="102"/>
      <c r="H132" s="102"/>
      <c r="I132" s="102"/>
      <c r="J132" s="102"/>
    </row>
    <row r="133" spans="1:10" ht="14.45" x14ac:dyDescent="0.3">
      <c r="A133" s="47" t="s">
        <v>243</v>
      </c>
      <c r="B133" s="47"/>
      <c r="C133" s="47"/>
      <c r="D133" s="102"/>
      <c r="E133" s="102"/>
      <c r="F133" s="102"/>
      <c r="G133" s="102"/>
      <c r="H133" s="102"/>
      <c r="I133" s="102"/>
      <c r="J133" s="102"/>
    </row>
    <row r="134" spans="1:10" ht="14.45" x14ac:dyDescent="0.3">
      <c r="A134" s="105">
        <f>0.2</f>
        <v>0.2</v>
      </c>
      <c r="C134" t="s">
        <v>242</v>
      </c>
      <c r="D134" s="90">
        <f>D129*$A$134</f>
        <v>5293.1975207880459</v>
      </c>
      <c r="E134" s="90">
        <f t="shared" ref="E134:J134" si="17">E129*$A$134</f>
        <v>5220.9684349880727</v>
      </c>
      <c r="F134" s="90">
        <f t="shared" si="17"/>
        <v>7810.5196706236929</v>
      </c>
      <c r="G134" s="90">
        <f t="shared" si="17"/>
        <v>6428.6544166200765</v>
      </c>
      <c r="H134" s="90">
        <f t="shared" si="17"/>
        <v>7222.8603439856706</v>
      </c>
      <c r="I134" s="90">
        <f t="shared" si="17"/>
        <v>5224.4906285390143</v>
      </c>
      <c r="J134" s="90">
        <f t="shared" si="17"/>
        <v>37200.69101554458</v>
      </c>
    </row>
    <row r="135" spans="1:10" ht="14.45" x14ac:dyDescent="0.3">
      <c r="A135" s="105">
        <f>0.01</f>
        <v>0.01</v>
      </c>
      <c r="C135" t="s">
        <v>273</v>
      </c>
      <c r="D135" s="90">
        <f>D130*$A$135</f>
        <v>134.26400000000001</v>
      </c>
      <c r="E135" s="90">
        <f t="shared" ref="E135:J135" si="18">E130*$A$135</f>
        <v>83.08</v>
      </c>
      <c r="F135" s="90">
        <f t="shared" si="18"/>
        <v>104.2736</v>
      </c>
      <c r="G135" s="90">
        <f t="shared" si="18"/>
        <v>149.51520000000002</v>
      </c>
      <c r="H135" s="90">
        <f t="shared" si="18"/>
        <v>124.4832</v>
      </c>
      <c r="I135" s="90">
        <f t="shared" si="18"/>
        <v>92.409600000000012</v>
      </c>
      <c r="J135" s="90">
        <f t="shared" si="18"/>
        <v>688.02559999999994</v>
      </c>
    </row>
    <row r="136" spans="1:10" thickBot="1" x14ac:dyDescent="0.35">
      <c r="D136" s="123"/>
      <c r="E136" s="123"/>
      <c r="F136" s="123"/>
      <c r="G136" s="123"/>
      <c r="H136" s="123"/>
      <c r="I136" s="123"/>
      <c r="J136" s="123"/>
    </row>
    <row r="137" spans="1:10" thickTop="1" x14ac:dyDescent="0.3">
      <c r="A137" s="47" t="s">
        <v>250</v>
      </c>
      <c r="B137" s="47"/>
      <c r="C137" s="47"/>
      <c r="D137" s="120">
        <f>D131-(D134+D135)</f>
        <v>34464.926083152175</v>
      </c>
      <c r="E137" s="120">
        <f t="shared" ref="E137:J137" si="19">E131-(E134+E135)</f>
        <v>29108.793739952293</v>
      </c>
      <c r="F137" s="120">
        <f t="shared" si="19"/>
        <v>41565.165082494772</v>
      </c>
      <c r="G137" s="120">
        <f t="shared" si="19"/>
        <v>40516.622466480309</v>
      </c>
      <c r="H137" s="120">
        <f t="shared" si="19"/>
        <v>41215.27817594268</v>
      </c>
      <c r="I137" s="120">
        <f t="shared" si="19"/>
        <v>30046.512914156054</v>
      </c>
      <c r="J137" s="120">
        <f t="shared" si="19"/>
        <v>216917.29846217833</v>
      </c>
    </row>
    <row r="138" spans="1:10" ht="14.45" x14ac:dyDescent="0.3">
      <c r="C138" s="46"/>
      <c r="D138" s="12"/>
      <c r="E138" s="12"/>
      <c r="F138" s="12"/>
      <c r="G138" s="12"/>
      <c r="H138" s="12"/>
      <c r="I138" s="12"/>
      <c r="J138" s="12"/>
    </row>
    <row r="139" spans="1:10" ht="14.45" x14ac:dyDescent="0.3">
      <c r="C139" s="46"/>
    </row>
  </sheetData>
  <printOptions gridLines="1"/>
  <pageMargins left="0.7" right="0.7" top="0" bottom="0" header="0.3" footer="0.3"/>
  <pageSetup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H23"/>
    </sheetView>
  </sheetViews>
  <sheetFormatPr defaultRowHeight="15" x14ac:dyDescent="0.25"/>
  <cols>
    <col min="1" max="1" width="8.42578125" customWidth="1"/>
    <col min="2" max="2" width="14.7109375" customWidth="1"/>
    <col min="3" max="3" width="2.140625" customWidth="1"/>
    <col min="4" max="4" width="10.7109375" customWidth="1"/>
  </cols>
  <sheetData>
    <row r="1" spans="1:8" x14ac:dyDescent="0.3">
      <c r="A1" s="47" t="s">
        <v>218</v>
      </c>
    </row>
    <row r="3" spans="1:8" x14ac:dyDescent="0.3">
      <c r="A3" s="92"/>
      <c r="B3" s="93"/>
      <c r="C3" s="93"/>
      <c r="D3" s="94" t="s">
        <v>223</v>
      </c>
      <c r="E3" s="94"/>
      <c r="F3" s="95"/>
      <c r="G3" s="94" t="s">
        <v>224</v>
      </c>
      <c r="H3" s="96"/>
    </row>
    <row r="4" spans="1:8" x14ac:dyDescent="0.3">
      <c r="A4" s="97" t="s">
        <v>219</v>
      </c>
      <c r="B4" s="51"/>
      <c r="C4" s="48"/>
      <c r="D4" s="21" t="s">
        <v>221</v>
      </c>
      <c r="E4" s="21" t="s">
        <v>222</v>
      </c>
      <c r="F4" s="48"/>
      <c r="G4" s="21" t="s">
        <v>221</v>
      </c>
      <c r="H4" s="70" t="s">
        <v>222</v>
      </c>
    </row>
    <row r="5" spans="1:8" x14ac:dyDescent="0.3">
      <c r="A5" s="65" t="s">
        <v>231</v>
      </c>
      <c r="B5" s="48"/>
      <c r="C5" s="48"/>
      <c r="D5" s="48"/>
      <c r="E5" s="48"/>
      <c r="F5" s="48"/>
      <c r="G5" s="48"/>
      <c r="H5" s="98"/>
    </row>
    <row r="6" spans="1:8" x14ac:dyDescent="0.3">
      <c r="A6" s="99">
        <f>1</f>
        <v>1</v>
      </c>
      <c r="B6" s="48" t="s">
        <v>220</v>
      </c>
      <c r="C6" s="48"/>
      <c r="D6" s="45">
        <f>13170*A6</f>
        <v>13170</v>
      </c>
      <c r="E6" s="45">
        <f>D6*12*A6</f>
        <v>158040</v>
      </c>
      <c r="F6" s="48"/>
      <c r="G6" s="45"/>
      <c r="H6" s="73"/>
    </row>
    <row r="7" spans="1:8" x14ac:dyDescent="0.3">
      <c r="A7" s="99">
        <f>1</f>
        <v>1</v>
      </c>
      <c r="B7" s="48" t="s">
        <v>225</v>
      </c>
      <c r="C7" s="48"/>
      <c r="D7" s="45">
        <f>E7/12*A7</f>
        <v>1187.5</v>
      </c>
      <c r="E7" s="45">
        <f>14250*A7</f>
        <v>14250</v>
      </c>
      <c r="F7" s="48"/>
      <c r="G7" s="48"/>
      <c r="H7" s="98"/>
    </row>
    <row r="8" spans="1:8" x14ac:dyDescent="0.3">
      <c r="A8" s="99">
        <f>1</f>
        <v>1</v>
      </c>
      <c r="B8" s="48" t="s">
        <v>226</v>
      </c>
      <c r="C8" s="48"/>
      <c r="D8" s="45">
        <f t="shared" ref="D8:D12" si="0">E8/12</f>
        <v>833.33333333333337</v>
      </c>
      <c r="E8" s="45">
        <f>10000*A8</f>
        <v>10000</v>
      </c>
      <c r="F8" s="48"/>
      <c r="G8" s="48"/>
      <c r="H8" s="98"/>
    </row>
    <row r="9" spans="1:8" x14ac:dyDescent="0.3">
      <c r="A9" s="99">
        <v>0.5</v>
      </c>
      <c r="B9" s="48" t="s">
        <v>227</v>
      </c>
      <c r="C9" s="48"/>
      <c r="D9" s="45">
        <f t="shared" si="0"/>
        <v>1291.6666666666667</v>
      </c>
      <c r="E9" s="45">
        <f>31000*A9</f>
        <v>15500</v>
      </c>
      <c r="F9" s="48"/>
      <c r="G9" s="48"/>
      <c r="H9" s="98"/>
    </row>
    <row r="10" spans="1:8" x14ac:dyDescent="0.3">
      <c r="A10" s="99">
        <v>0.5</v>
      </c>
      <c r="B10" s="48" t="s">
        <v>228</v>
      </c>
      <c r="C10" s="48"/>
      <c r="D10" s="45">
        <f t="shared" si="0"/>
        <v>1041.6666666666667</v>
      </c>
      <c r="E10" s="45">
        <f>25000*A10</f>
        <v>12500</v>
      </c>
      <c r="F10" s="48"/>
      <c r="G10" s="48"/>
      <c r="H10" s="98"/>
    </row>
    <row r="11" spans="1:8" x14ac:dyDescent="0.3">
      <c r="A11" s="99">
        <f>1</f>
        <v>1</v>
      </c>
      <c r="B11" s="48" t="s">
        <v>229</v>
      </c>
      <c r="C11" s="48"/>
      <c r="D11" s="45">
        <f t="shared" si="0"/>
        <v>1250</v>
      </c>
      <c r="E11" s="45">
        <f>15000*A11</f>
        <v>15000</v>
      </c>
      <c r="F11" s="48"/>
      <c r="G11" s="48"/>
      <c r="H11" s="98"/>
    </row>
    <row r="12" spans="1:8" x14ac:dyDescent="0.3">
      <c r="A12" s="99">
        <f>1</f>
        <v>1</v>
      </c>
      <c r="B12" s="48" t="s">
        <v>230</v>
      </c>
      <c r="C12" s="48"/>
      <c r="D12" s="58">
        <f t="shared" si="0"/>
        <v>3000</v>
      </c>
      <c r="E12" s="58">
        <f>36000*A12</f>
        <v>36000</v>
      </c>
      <c r="F12" s="48"/>
      <c r="G12" s="48"/>
      <c r="H12" s="98"/>
    </row>
    <row r="13" spans="1:8" s="46" customFormat="1" x14ac:dyDescent="0.3">
      <c r="A13" s="99" t="s">
        <v>94</v>
      </c>
      <c r="B13" s="48"/>
      <c r="C13" s="48"/>
      <c r="D13" s="37">
        <f>SUM(D6:D12)</f>
        <v>21774.166666666668</v>
      </c>
      <c r="E13" s="37">
        <f>SUM(E6:E12)</f>
        <v>261290</v>
      </c>
      <c r="F13" s="48"/>
      <c r="G13" s="48"/>
      <c r="H13" s="98"/>
    </row>
    <row r="14" spans="1:8" x14ac:dyDescent="0.3">
      <c r="A14" s="68"/>
      <c r="B14" s="48"/>
      <c r="C14" s="48"/>
      <c r="D14" s="45"/>
      <c r="E14" s="45"/>
      <c r="F14" s="48"/>
      <c r="G14" s="48"/>
      <c r="H14" s="98"/>
    </row>
    <row r="15" spans="1:8" x14ac:dyDescent="0.3">
      <c r="A15" s="99">
        <f>1</f>
        <v>1</v>
      </c>
      <c r="B15" s="48" t="s">
        <v>220</v>
      </c>
      <c r="C15" s="48"/>
      <c r="D15" s="48"/>
      <c r="E15" s="48"/>
      <c r="F15" s="48"/>
      <c r="G15" s="45">
        <f>13170*A15</f>
        <v>13170</v>
      </c>
      <c r="H15" s="73">
        <f>G15*12*A15</f>
        <v>158040</v>
      </c>
    </row>
    <row r="16" spans="1:8" x14ac:dyDescent="0.3">
      <c r="A16" s="99">
        <f>1</f>
        <v>1</v>
      </c>
      <c r="B16" s="48" t="s">
        <v>225</v>
      </c>
      <c r="C16" s="48"/>
      <c r="D16" s="48"/>
      <c r="E16" s="48"/>
      <c r="F16" s="48"/>
      <c r="G16" s="45">
        <f>H16/12*A16</f>
        <v>1187.5</v>
      </c>
      <c r="H16" s="73">
        <f>14250*A16</f>
        <v>14250</v>
      </c>
    </row>
    <row r="17" spans="1:8" x14ac:dyDescent="0.3">
      <c r="A17" s="99">
        <v>0.5</v>
      </c>
      <c r="B17" s="48" t="s">
        <v>227</v>
      </c>
      <c r="C17" s="48"/>
      <c r="D17" s="48"/>
      <c r="E17" s="48"/>
      <c r="F17" s="48"/>
      <c r="G17" s="45">
        <f t="shared" ref="G17:G20" si="1">H17/12</f>
        <v>1291.6666666666667</v>
      </c>
      <c r="H17" s="73">
        <f>31000*A17</f>
        <v>15500</v>
      </c>
    </row>
    <row r="18" spans="1:8" x14ac:dyDescent="0.3">
      <c r="A18" s="99">
        <v>0.5</v>
      </c>
      <c r="B18" s="48" t="s">
        <v>228</v>
      </c>
      <c r="C18" s="48"/>
      <c r="D18" s="48"/>
      <c r="E18" s="48"/>
      <c r="F18" s="48"/>
      <c r="G18" s="45">
        <f t="shared" si="1"/>
        <v>1041.6666666666667</v>
      </c>
      <c r="H18" s="73">
        <f>25000*A18</f>
        <v>12500</v>
      </c>
    </row>
    <row r="19" spans="1:8" x14ac:dyDescent="0.3">
      <c r="A19" s="99">
        <f>1</f>
        <v>1</v>
      </c>
      <c r="B19" s="48" t="s">
        <v>229</v>
      </c>
      <c r="C19" s="48"/>
      <c r="D19" s="48"/>
      <c r="E19" s="48"/>
      <c r="F19" s="48"/>
      <c r="G19" s="45">
        <f t="shared" si="1"/>
        <v>1250</v>
      </c>
      <c r="H19" s="73">
        <f>15000*A19</f>
        <v>15000</v>
      </c>
    </row>
    <row r="20" spans="1:8" x14ac:dyDescent="0.3">
      <c r="A20" s="99">
        <f>1</f>
        <v>1</v>
      </c>
      <c r="B20" s="48" t="s">
        <v>230</v>
      </c>
      <c r="C20" s="48"/>
      <c r="D20" s="48"/>
      <c r="E20" s="48"/>
      <c r="F20" s="48"/>
      <c r="G20" s="45">
        <f t="shared" si="1"/>
        <v>3000</v>
      </c>
      <c r="H20" s="73">
        <f>36000*A20</f>
        <v>36000</v>
      </c>
    </row>
    <row r="21" spans="1:8" s="46" customFormat="1" x14ac:dyDescent="0.3">
      <c r="A21" s="99"/>
      <c r="B21" s="40" t="s">
        <v>235</v>
      </c>
      <c r="C21" s="48"/>
      <c r="D21" s="48"/>
      <c r="E21" s="48"/>
      <c r="F21" s="48"/>
      <c r="G21" s="45">
        <f>400</f>
        <v>400</v>
      </c>
      <c r="H21" s="73">
        <f>G21*12</f>
        <v>4800</v>
      </c>
    </row>
    <row r="22" spans="1:8" x14ac:dyDescent="0.3">
      <c r="A22" s="99">
        <f>1</f>
        <v>1</v>
      </c>
      <c r="B22" s="48" t="s">
        <v>232</v>
      </c>
      <c r="C22" s="48"/>
      <c r="D22" s="48"/>
      <c r="E22" s="48"/>
      <c r="F22" s="48"/>
      <c r="G22" s="58">
        <f>H22/12</f>
        <v>2500</v>
      </c>
      <c r="H22" s="75">
        <f>30000</f>
        <v>30000</v>
      </c>
    </row>
    <row r="23" spans="1:8" x14ac:dyDescent="0.3">
      <c r="A23" s="74"/>
      <c r="B23" s="51"/>
      <c r="C23" s="51"/>
      <c r="D23" s="51"/>
      <c r="E23" s="51"/>
      <c r="F23" s="51"/>
      <c r="G23" s="91">
        <f>SUM(G15:G22)</f>
        <v>23840.833333333332</v>
      </c>
      <c r="H23" s="100">
        <f>SUM(H15:H22)</f>
        <v>286090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O11" sqref="O11"/>
    </sheetView>
  </sheetViews>
  <sheetFormatPr defaultRowHeight="15" x14ac:dyDescent="0.25"/>
  <cols>
    <col min="1" max="1" width="2.7109375" customWidth="1"/>
    <col min="2" max="2" width="3.28515625" style="46" customWidth="1"/>
    <col min="3" max="3" width="22.28515625" style="46" customWidth="1"/>
    <col min="4" max="4" width="23.7109375" customWidth="1"/>
    <col min="5" max="6" width="14.5703125" customWidth="1"/>
    <col min="7" max="7" width="13.7109375" customWidth="1"/>
    <col min="8" max="8" width="12.28515625" customWidth="1"/>
    <col min="9" max="9" width="14.85546875" customWidth="1"/>
    <col min="10" max="10" width="13.28515625" customWidth="1"/>
    <col min="11" max="11" width="2.5703125" customWidth="1"/>
    <col min="13" max="13" width="10.7109375" customWidth="1"/>
  </cols>
  <sheetData>
    <row r="1" spans="1:13" ht="14.45" x14ac:dyDescent="0.3">
      <c r="A1" s="47" t="s">
        <v>252</v>
      </c>
    </row>
    <row r="2" spans="1:13" ht="14.45" x14ac:dyDescent="0.3">
      <c r="L2" s="108" t="s">
        <v>259</v>
      </c>
      <c r="M2" s="109"/>
    </row>
    <row r="3" spans="1:13" ht="14.45" x14ac:dyDescent="0.3">
      <c r="D3" s="101" t="s">
        <v>104</v>
      </c>
      <c r="E3" s="101" t="s">
        <v>105</v>
      </c>
      <c r="F3" s="101" t="s">
        <v>106</v>
      </c>
      <c r="G3" s="101" t="s">
        <v>107</v>
      </c>
      <c r="H3" s="101" t="s">
        <v>108</v>
      </c>
      <c r="I3" s="101" t="s">
        <v>109</v>
      </c>
      <c r="J3" s="101" t="s">
        <v>95</v>
      </c>
      <c r="L3" s="110" t="s">
        <v>261</v>
      </c>
      <c r="M3" s="111"/>
    </row>
    <row r="4" spans="1:13" ht="14.45" x14ac:dyDescent="0.3">
      <c r="L4" s="66" t="s">
        <v>260</v>
      </c>
      <c r="M4" s="66" t="s">
        <v>222</v>
      </c>
    </row>
    <row r="5" spans="1:13" ht="14.45" x14ac:dyDescent="0.3">
      <c r="A5" s="47" t="s">
        <v>233</v>
      </c>
      <c r="B5" s="47"/>
      <c r="C5" s="47"/>
      <c r="D5" s="57">
        <f>'Net Revenue'!D137</f>
        <v>34464.926083152175</v>
      </c>
      <c r="E5" s="57">
        <f>'Net Revenue'!E137</f>
        <v>29108.793739952293</v>
      </c>
      <c r="F5" s="57">
        <f>'Net Revenue'!F137</f>
        <v>41565.165082494772</v>
      </c>
      <c r="G5" s="57">
        <f>'Net Revenue'!G137</f>
        <v>40516.622466480309</v>
      </c>
      <c r="H5" s="57">
        <f>'Net Revenue'!H137</f>
        <v>41215.27817594268</v>
      </c>
      <c r="I5" s="57">
        <f>'Net Revenue'!I137</f>
        <v>30046.512914156054</v>
      </c>
      <c r="J5" s="57">
        <f>'Net Revenue'!J137</f>
        <v>216917.29846217833</v>
      </c>
      <c r="L5" s="12">
        <f>M5/2</f>
        <v>231954.5454545455</v>
      </c>
      <c r="M5" s="12">
        <f>SFRNA!E41</f>
        <v>463909.090909091</v>
      </c>
    </row>
    <row r="6" spans="1:13" s="46" customFormat="1" ht="14.45" x14ac:dyDescent="0.3">
      <c r="A6" s="47"/>
      <c r="B6" s="47" t="s">
        <v>264</v>
      </c>
      <c r="C6" s="47"/>
      <c r="D6" s="57"/>
      <c r="E6" s="57"/>
      <c r="F6" s="57"/>
      <c r="G6" s="57"/>
      <c r="H6" s="57"/>
      <c r="I6" s="57"/>
      <c r="J6" s="57"/>
      <c r="L6" s="12"/>
      <c r="M6" s="12"/>
    </row>
    <row r="7" spans="1:13" ht="14.45" x14ac:dyDescent="0.3">
      <c r="J7" s="52"/>
    </row>
    <row r="8" spans="1:13" ht="14.45" x14ac:dyDescent="0.3">
      <c r="A8" s="47" t="s">
        <v>263</v>
      </c>
      <c r="B8" s="47"/>
      <c r="C8" s="47"/>
      <c r="D8" s="57">
        <f>(Costs!$D$13+Costs!$G$23)/2</f>
        <v>22807.5</v>
      </c>
      <c r="E8" s="57">
        <f>(Costs!$D$13+Costs!$G$23)/2</f>
        <v>22807.5</v>
      </c>
      <c r="F8" s="57">
        <f>(Costs!$D$13+Costs!$G$23)/2</f>
        <v>22807.5</v>
      </c>
      <c r="G8" s="57">
        <f>(Costs!$D$13+Costs!$G$23)/2</f>
        <v>22807.5</v>
      </c>
      <c r="H8" s="57">
        <f>(Costs!$D$13+Costs!$G$23)/2</f>
        <v>22807.5</v>
      </c>
      <c r="I8" s="57">
        <f>(Costs!$D$13+Costs!$G$23)/2</f>
        <v>22807.5</v>
      </c>
      <c r="J8" s="57">
        <f>SUM(D8:I8)</f>
        <v>136845</v>
      </c>
    </row>
    <row r="9" spans="1:13" ht="14.45" x14ac:dyDescent="0.3">
      <c r="D9" s="51"/>
      <c r="E9" s="51"/>
      <c r="F9" s="51"/>
      <c r="G9" s="51"/>
      <c r="H9" s="51"/>
      <c r="I9" s="51"/>
      <c r="J9" s="53"/>
    </row>
    <row r="10" spans="1:13" s="47" customFormat="1" ht="14.45" x14ac:dyDescent="0.3">
      <c r="A10" s="47" t="s">
        <v>234</v>
      </c>
      <c r="D10" s="32">
        <f t="shared" ref="D10:I10" si="0">D5-D8</f>
        <v>11657.426083152175</v>
      </c>
      <c r="E10" s="32">
        <f t="shared" si="0"/>
        <v>6301.2937399522925</v>
      </c>
      <c r="F10" s="32">
        <f t="shared" si="0"/>
        <v>18757.665082494772</v>
      </c>
      <c r="G10" s="32">
        <f t="shared" si="0"/>
        <v>17709.122466480309</v>
      </c>
      <c r="H10" s="32">
        <f t="shared" si="0"/>
        <v>18407.77817594268</v>
      </c>
      <c r="I10" s="32">
        <f t="shared" si="0"/>
        <v>7239.0129141560537</v>
      </c>
      <c r="J10" s="32">
        <f>J5-J8</f>
        <v>80072.298462178325</v>
      </c>
    </row>
    <row r="11" spans="1:13" ht="14.45" x14ac:dyDescent="0.3">
      <c r="J11" s="52"/>
    </row>
    <row r="12" spans="1:13" ht="14.45" x14ac:dyDescent="0.3">
      <c r="A12" t="s">
        <v>236</v>
      </c>
      <c r="J12" s="52"/>
    </row>
    <row r="13" spans="1:13" ht="14.45" x14ac:dyDescent="0.3">
      <c r="B13" s="46" t="s">
        <v>237</v>
      </c>
      <c r="D13" s="57">
        <f>D10*0.5</f>
        <v>5828.7130415760876</v>
      </c>
      <c r="E13" s="57">
        <f t="shared" ref="E13:J13" si="1">E10*0.5</f>
        <v>3150.6468699761463</v>
      </c>
      <c r="F13" s="57">
        <f t="shared" si="1"/>
        <v>9378.832541247386</v>
      </c>
      <c r="G13" s="57">
        <f t="shared" si="1"/>
        <v>8854.5612332401543</v>
      </c>
      <c r="H13" s="57">
        <f t="shared" si="1"/>
        <v>9203.8890879713399</v>
      </c>
      <c r="I13" s="57">
        <f t="shared" si="1"/>
        <v>3619.5064570780269</v>
      </c>
      <c r="J13" s="57">
        <f t="shared" si="1"/>
        <v>40036.149231089163</v>
      </c>
    </row>
    <row r="14" spans="1:13" ht="14.45" x14ac:dyDescent="0.3">
      <c r="C14" s="46" t="s">
        <v>238</v>
      </c>
      <c r="J14" s="52"/>
    </row>
    <row r="15" spans="1:13" thickBot="1" x14ac:dyDescent="0.35">
      <c r="D15" s="103"/>
      <c r="E15" s="103"/>
      <c r="F15" s="103"/>
      <c r="G15" s="103"/>
      <c r="H15" s="103"/>
      <c r="I15" s="103"/>
      <c r="J15" s="104"/>
    </row>
    <row r="16" spans="1:13" s="47" customFormat="1" thickTop="1" x14ac:dyDescent="0.3">
      <c r="B16" s="47" t="s">
        <v>239</v>
      </c>
      <c r="D16" s="32">
        <f>D13*4</f>
        <v>23314.85216630435</v>
      </c>
      <c r="E16" s="32">
        <f t="shared" ref="E16:J16" si="2">E13*4</f>
        <v>12602.587479904585</v>
      </c>
      <c r="F16" s="32">
        <f t="shared" si="2"/>
        <v>37515.330164989544</v>
      </c>
      <c r="G16" s="32">
        <f t="shared" si="2"/>
        <v>35418.244932960617</v>
      </c>
      <c r="H16" s="32">
        <f t="shared" si="2"/>
        <v>36815.55635188536</v>
      </c>
      <c r="I16" s="32">
        <f t="shared" si="2"/>
        <v>14478.025828312107</v>
      </c>
      <c r="J16" s="32">
        <f t="shared" si="2"/>
        <v>160144.59692435665</v>
      </c>
    </row>
    <row r="17" spans="1:10" ht="14.45" x14ac:dyDescent="0.3">
      <c r="B17" s="47" t="s">
        <v>240</v>
      </c>
      <c r="C17" s="47"/>
    </row>
    <row r="18" spans="1:10" ht="14.45" x14ac:dyDescent="0.3">
      <c r="I18" s="106" t="s">
        <v>251</v>
      </c>
      <c r="J18" s="107">
        <f>J16*2</f>
        <v>320289.1938487133</v>
      </c>
    </row>
    <row r="21" spans="1:10" ht="14.45" x14ac:dyDescent="0.3">
      <c r="A21" t="s">
        <v>262</v>
      </c>
    </row>
  </sheetData>
  <printOptions gridLines="1"/>
  <pageMargins left="0.2" right="0.2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skyview</vt:lpstr>
      <vt:lpstr>Skyview Analysis</vt:lpstr>
      <vt:lpstr>AQHRevenue</vt:lpstr>
      <vt:lpstr>SFRNA</vt:lpstr>
      <vt:lpstr>Net Revenue</vt:lpstr>
      <vt:lpstr>Costs</vt:lpstr>
      <vt:lpstr>P&amp;L</vt:lpstr>
      <vt:lpstr>AQHRevenue!Print_Area</vt:lpstr>
      <vt:lpstr>Costs!Print_Area</vt:lpstr>
      <vt:lpstr>'Net Revenue'!Print_Area</vt:lpstr>
      <vt:lpstr>'P&amp;L'!Print_Area</vt:lpstr>
      <vt:lpstr>SFRNA!Print_Area</vt:lpstr>
      <vt:lpstr>skyview!Print_Area</vt:lpstr>
      <vt:lpstr>'Skyview Analysis'!Print_Area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Gow</dc:creator>
  <cp:lastModifiedBy>Owner</cp:lastModifiedBy>
  <cp:lastPrinted>2014-07-03T16:43:55Z</cp:lastPrinted>
  <dcterms:created xsi:type="dcterms:W3CDTF">2013-03-25T19:15:31Z</dcterms:created>
  <dcterms:modified xsi:type="dcterms:W3CDTF">2014-07-04T08:53:56Z</dcterms:modified>
</cp:coreProperties>
</file>